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AXpNDkLZwyYrLmmFDxswJqqjen2OrgxFRRVt6fRXVwAg5NhFBDs8oWEElsluTzkHa8maBUvaCK3ItCG/TS94iw==" workbookSaltValue="V1zkZvMJI/gAReWSUrDxUQ==" workbookSpinCount="100000" lockStructure="1"/>
  <bookViews>
    <workbookView xWindow="0" yWindow="0" windowWidth="22260" windowHeight="12645"/>
  </bookViews>
  <sheets>
    <sheet name="Dashboard" sheetId="2" r:id="rId1"/>
    <sheet name="data" sheetId="1" state="hidden" r:id="rId2"/>
    <sheet name="pivot" sheetId="3" state="hidden" r:id="rId3"/>
    <sheet name="camera" sheetId="4" state="hidden" r:id="rId4"/>
  </sheets>
  <definedNames>
    <definedName name="スライサー_年度">#N/A</definedName>
  </definedNames>
  <calcPr calcId="162913" concurrentCalc="0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AE9" i="1"/>
  <c r="AE8" i="1"/>
  <c r="AE7" i="1"/>
  <c r="AE6" i="1"/>
  <c r="AE5" i="1"/>
  <c r="AE4" i="1"/>
  <c r="E5" i="1"/>
  <c r="E6" i="1"/>
  <c r="E7" i="1"/>
  <c r="E8" i="1"/>
  <c r="E9" i="1"/>
  <c r="E10" i="1"/>
  <c r="E11" i="1"/>
  <c r="E12" i="1"/>
  <c r="AA9" i="1"/>
  <c r="AA10" i="1"/>
  <c r="AA11" i="1"/>
  <c r="AA12" i="1"/>
  <c r="AA13" i="1"/>
  <c r="E13" i="1"/>
  <c r="E14" i="1"/>
  <c r="T10" i="1"/>
  <c r="T11" i="1"/>
  <c r="T12" i="1"/>
  <c r="T13" i="1"/>
  <c r="T14" i="1"/>
  <c r="E15" i="1"/>
  <c r="AE11" i="1"/>
  <c r="AE12" i="1"/>
  <c r="AE13" i="1"/>
  <c r="AE14" i="1"/>
  <c r="AE15" i="1"/>
  <c r="E16" i="1"/>
  <c r="AA14" i="1"/>
  <c r="AA15" i="1"/>
  <c r="AA16" i="1"/>
  <c r="AA17" i="1"/>
  <c r="AA18" i="1"/>
  <c r="E17" i="1"/>
  <c r="T15" i="1"/>
  <c r="T17" i="1"/>
  <c r="T18" i="1"/>
  <c r="E18" i="1"/>
  <c r="E19" i="1"/>
  <c r="AE16" i="1"/>
  <c r="AE17" i="1"/>
  <c r="AE18" i="1"/>
  <c r="AE19" i="1"/>
  <c r="AF20" i="1"/>
  <c r="AE20" i="1"/>
  <c r="E20" i="1"/>
  <c r="AA19" i="1"/>
  <c r="AA20" i="1"/>
  <c r="AA21" i="1"/>
  <c r="AA22" i="1"/>
  <c r="T19" i="1"/>
  <c r="T20" i="1"/>
  <c r="T21" i="1"/>
  <c r="T22" i="1"/>
  <c r="T23" i="1"/>
  <c r="E22" i="1"/>
  <c r="E21" i="1"/>
  <c r="E23" i="1"/>
  <c r="AE21" i="1"/>
  <c r="E24" i="1"/>
  <c r="AE22" i="1"/>
  <c r="AE23" i="1"/>
  <c r="E25" i="1"/>
  <c r="E26" i="1"/>
  <c r="AE24" i="1"/>
  <c r="AE25" i="1"/>
  <c r="AA23" i="1"/>
  <c r="E27" i="1"/>
  <c r="AA24" i="1"/>
  <c r="E28" i="1"/>
  <c r="AE26" i="1"/>
  <c r="AE27" i="1"/>
  <c r="AE28" i="1"/>
  <c r="AA25" i="1"/>
  <c r="E29" i="1"/>
  <c r="AA26" i="1"/>
  <c r="AE29" i="1"/>
  <c r="E30" i="1"/>
  <c r="AA27" i="1"/>
  <c r="AA28" i="1"/>
  <c r="AA29" i="1"/>
  <c r="E31" i="1"/>
  <c r="I32" i="1"/>
  <c r="E32" i="1"/>
  <c r="AE30" i="1"/>
  <c r="AE31" i="1"/>
  <c r="I33" i="1"/>
  <c r="E33" i="1"/>
  <c r="E12" i="3"/>
  <c r="E13" i="3"/>
  <c r="E14" i="3"/>
  <c r="E28" i="3"/>
  <c r="I24" i="4"/>
  <c r="E27" i="3"/>
  <c r="I23" i="4"/>
  <c r="E20" i="3"/>
  <c r="I22" i="4"/>
  <c r="AA30" i="1"/>
  <c r="I34" i="1"/>
  <c r="E34" i="1"/>
  <c r="AE32" i="1"/>
  <c r="AE33" i="1"/>
  <c r="AE34" i="1"/>
  <c r="AE35" i="1"/>
  <c r="E3" i="3"/>
  <c r="B2" i="4"/>
  <c r="E4" i="3"/>
  <c r="B3" i="4"/>
  <c r="E5" i="3"/>
  <c r="B4" i="4"/>
  <c r="E6" i="3"/>
  <c r="B5" i="4"/>
  <c r="E7" i="3"/>
  <c r="B6" i="4"/>
  <c r="E8" i="3"/>
  <c r="B7" i="4"/>
  <c r="E9" i="3"/>
  <c r="B8" i="4"/>
  <c r="E10" i="3"/>
  <c r="B9" i="4"/>
  <c r="E11" i="3"/>
  <c r="B10" i="4"/>
  <c r="E2" i="3"/>
  <c r="B1" i="4"/>
  <c r="C2" i="4"/>
  <c r="C3" i="4"/>
  <c r="C4" i="4"/>
  <c r="C5" i="4"/>
  <c r="C6" i="4"/>
  <c r="C7" i="4"/>
  <c r="C8" i="4"/>
  <c r="C9" i="4"/>
  <c r="C10" i="4"/>
  <c r="C1" i="4"/>
  <c r="F3" i="3"/>
  <c r="D2" i="4"/>
  <c r="F4" i="3"/>
  <c r="D3" i="4"/>
  <c r="F5" i="3"/>
  <c r="D4" i="4"/>
  <c r="F6" i="3"/>
  <c r="D5" i="4"/>
  <c r="F7" i="3"/>
  <c r="D6" i="4"/>
  <c r="F8" i="3"/>
  <c r="D7" i="4"/>
  <c r="F9" i="3"/>
  <c r="D8" i="4"/>
  <c r="F10" i="3"/>
  <c r="D9" i="4"/>
  <c r="F11" i="3"/>
  <c r="D10" i="4"/>
  <c r="F2" i="3"/>
  <c r="D1" i="4"/>
  <c r="AA31" i="1"/>
  <c r="AA32" i="1"/>
  <c r="AA33" i="1"/>
  <c r="AA34" i="1"/>
  <c r="AE36" i="1"/>
  <c r="AA35" i="1"/>
  <c r="M36" i="1"/>
  <c r="M35" i="1"/>
  <c r="N36" i="1"/>
  <c r="I35" i="1"/>
  <c r="E35" i="1"/>
  <c r="M2" i="1"/>
  <c r="N2" i="1"/>
  <c r="M4" i="1"/>
  <c r="M3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N35" i="1"/>
  <c r="N3" i="1"/>
  <c r="E4" i="1"/>
  <c r="E3" i="1"/>
  <c r="AE3" i="1"/>
  <c r="AE2" i="1"/>
  <c r="F2" i="1"/>
  <c r="E2" i="1"/>
  <c r="E2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" i="3"/>
  <c r="L2" i="3"/>
  <c r="E34" i="3"/>
  <c r="I30" i="4"/>
  <c r="E33" i="3"/>
  <c r="I29" i="4"/>
  <c r="E32" i="3"/>
  <c r="I28" i="4"/>
  <c r="E31" i="3"/>
  <c r="I27" i="4"/>
  <c r="E30" i="3"/>
  <c r="I26" i="4"/>
  <c r="E29" i="3"/>
  <c r="I25" i="4"/>
  <c r="E26" i="3"/>
  <c r="I21" i="4"/>
  <c r="E25" i="3"/>
  <c r="I20" i="4"/>
  <c r="E19" i="3"/>
  <c r="I19" i="4"/>
  <c r="E18" i="3"/>
  <c r="I18" i="4"/>
  <c r="E24" i="3"/>
  <c r="I17" i="4"/>
  <c r="E35" i="3"/>
  <c r="I16" i="4"/>
  <c r="H29" i="4"/>
  <c r="H30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E21" i="3"/>
  <c r="F21" i="3"/>
  <c r="R4" i="1"/>
  <c r="I4" i="3"/>
  <c r="R5" i="1"/>
  <c r="I5" i="3"/>
  <c r="R6" i="1"/>
  <c r="I6" i="3"/>
  <c r="R7" i="1"/>
  <c r="I7" i="3"/>
  <c r="R8" i="1"/>
  <c r="I8" i="3"/>
  <c r="R9" i="1"/>
  <c r="I9" i="3"/>
  <c r="R10" i="1"/>
  <c r="I10" i="3"/>
  <c r="R11" i="1"/>
  <c r="I11" i="3"/>
  <c r="R12" i="1"/>
  <c r="I12" i="3"/>
  <c r="R13" i="1"/>
  <c r="I13" i="3"/>
  <c r="R14" i="1"/>
  <c r="I14" i="3"/>
  <c r="R15" i="1"/>
  <c r="I15" i="3"/>
  <c r="R16" i="1"/>
  <c r="I16" i="3"/>
  <c r="R17" i="1"/>
  <c r="I17" i="3"/>
  <c r="R18" i="1"/>
  <c r="I18" i="3"/>
  <c r="R19" i="1"/>
  <c r="I19" i="3"/>
  <c r="R20" i="1"/>
  <c r="I20" i="3"/>
  <c r="R21" i="1"/>
  <c r="I21" i="3"/>
  <c r="R22" i="1"/>
  <c r="I22" i="3"/>
  <c r="R23" i="1"/>
  <c r="I23" i="3"/>
  <c r="R24" i="1"/>
  <c r="I24" i="3"/>
  <c r="R25" i="1"/>
  <c r="I25" i="3"/>
  <c r="R26" i="1"/>
  <c r="I26" i="3"/>
  <c r="R27" i="1"/>
  <c r="I27" i="3"/>
  <c r="R28" i="1"/>
  <c r="I28" i="3"/>
  <c r="R29" i="1"/>
  <c r="I29" i="3"/>
  <c r="R30" i="1"/>
  <c r="I30" i="3"/>
  <c r="R31" i="1"/>
  <c r="I31" i="3"/>
  <c r="R32" i="1"/>
  <c r="I32" i="3"/>
  <c r="R33" i="1"/>
  <c r="I33" i="3"/>
  <c r="R34" i="1"/>
  <c r="I34" i="3"/>
  <c r="R35" i="1"/>
  <c r="I35" i="3"/>
  <c r="R36" i="1"/>
  <c r="I36" i="3"/>
  <c r="R3" i="1"/>
  <c r="I3" i="3"/>
  <c r="R2" i="1"/>
  <c r="I2" i="3"/>
  <c r="E22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A10" i="4"/>
  <c r="A8" i="4"/>
  <c r="A9" i="4"/>
  <c r="A2" i="4"/>
  <c r="A3" i="4"/>
  <c r="A4" i="4"/>
  <c r="A5" i="4"/>
  <c r="A6" i="4"/>
  <c r="A7" i="4"/>
  <c r="A1" i="4"/>
  <c r="F14" i="3"/>
  <c r="E17" i="3"/>
  <c r="E16" i="3"/>
  <c r="E15" i="3"/>
</calcChain>
</file>

<file path=xl/comments1.xml><?xml version="1.0" encoding="utf-8"?>
<comments xmlns="http://schemas.openxmlformats.org/spreadsheetml/2006/main">
  <authors>
    <author>作成者</author>
  </authors>
  <commentList>
    <comment ref="P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現年度課税の数字。右同じ。
</t>
        </r>
      </text>
    </comment>
    <comment ref="U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万本</t>
        </r>
      </text>
    </comment>
    <comment ref="V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現年度の面積</t>
        </r>
      </text>
    </comment>
    <comment ref="W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現年度の数字</t>
        </r>
      </text>
    </comment>
  </commentList>
</comments>
</file>

<file path=xl/sharedStrings.xml><?xml version="1.0" encoding="utf-8"?>
<sst xmlns="http://schemas.openxmlformats.org/spreadsheetml/2006/main" count="145" uniqueCount="117">
  <si>
    <t>年度</t>
    <rPh sb="0" eb="2">
      <t>ネンド</t>
    </rPh>
    <phoneticPr fontId="2"/>
  </si>
  <si>
    <t>個人住民税</t>
    <rPh sb="0" eb="2">
      <t>コジン</t>
    </rPh>
    <rPh sb="2" eb="5">
      <t>ジュウミンゼイ</t>
    </rPh>
    <phoneticPr fontId="2"/>
  </si>
  <si>
    <t>法人市民税</t>
    <rPh sb="0" eb="2">
      <t>ホウジン</t>
    </rPh>
    <rPh sb="2" eb="5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</si>
  <si>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</si>
  <si>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たばこ税</t>
    <rPh sb="3" eb="4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</si>
  <si>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</si>
  <si>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</si>
  <si>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軽自動車税</t>
    <rPh sb="0" eb="4">
      <t>ケイジドウシャ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</si>
  <si>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</si>
  <si>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鉱産税</t>
    <rPh sb="0" eb="2">
      <t>コウサン</t>
    </rPh>
    <rPh sb="2" eb="3">
      <t>ゼイ</t>
    </rPh>
    <phoneticPr fontId="2"/>
  </si>
  <si>
    <t>電気税</t>
    <rPh sb="0" eb="2">
      <t>デンキ</t>
    </rPh>
    <rPh sb="2" eb="3">
      <t>ゼイ</t>
    </rPh>
    <phoneticPr fontId="2"/>
  </si>
  <si>
    <t>税収</t>
    <rPh sb="0" eb="2">
      <t>ゼイシュウ</t>
    </rPh>
    <phoneticPr fontId="2"/>
  </si>
  <si>
    <t>法人数</t>
    <rPh sb="0" eb="2">
      <t>ホウジン</t>
    </rPh>
    <rPh sb="2" eb="3">
      <t>スウ</t>
    </rPh>
    <phoneticPr fontId="2"/>
  </si>
  <si>
    <t>軽四輪車台数</t>
    <rPh sb="0" eb="1">
      <t>ケイ</t>
    </rPh>
    <rPh sb="1" eb="3">
      <t>ヨンリン</t>
    </rPh>
    <rPh sb="3" eb="4">
      <t>シャ</t>
    </rPh>
    <rPh sb="4" eb="6">
      <t>ダイスウ</t>
    </rPh>
    <phoneticPr fontId="2"/>
  </si>
  <si>
    <t>たばこ消費本数</t>
    <rPh sb="3" eb="5">
      <t>ショウヒ</t>
    </rPh>
    <rPh sb="5" eb="7">
      <t>ホンスウ</t>
    </rPh>
    <phoneticPr fontId="2"/>
  </si>
  <si>
    <t>収納率</t>
    <rPh sb="0" eb="2">
      <t>シュウノウ</t>
    </rPh>
    <rPh sb="2" eb="3">
      <t>リツ</t>
    </rPh>
    <phoneticPr fontId="2"/>
  </si>
  <si>
    <t>総所得</t>
    <rPh sb="0" eb="3">
      <t>ソウショトク</t>
    </rPh>
    <phoneticPr fontId="2"/>
  </si>
  <si>
    <t>納税義務者</t>
    <rPh sb="0" eb="2">
      <t>ノウゼイ</t>
    </rPh>
    <rPh sb="2" eb="5">
      <t>ギムシャ</t>
    </rPh>
    <phoneticPr fontId="2"/>
  </si>
  <si>
    <t>納税義務者1人当たり所得</t>
    <rPh sb="0" eb="2">
      <t>ノウゼイ</t>
    </rPh>
    <rPh sb="2" eb="5">
      <t>ギムシャ</t>
    </rPh>
    <rPh sb="5" eb="7">
      <t>ヒトリ</t>
    </rPh>
    <rPh sb="7" eb="8">
      <t>ア</t>
    </rPh>
    <rPh sb="10" eb="12">
      <t>ショトク</t>
    </rPh>
    <phoneticPr fontId="2"/>
  </si>
  <si>
    <t>合計 / 個人住民税</t>
  </si>
  <si>
    <t>合計 / 法人市民税</t>
  </si>
  <si>
    <t>合計 / 固定資産税</t>
  </si>
  <si>
    <t>合計 / たばこ税</t>
  </si>
  <si>
    <t>合計 / 都市計画税</t>
  </si>
  <si>
    <t>合計 / 軽自動車税</t>
  </si>
  <si>
    <t>合計 / 入湯税</t>
  </si>
  <si>
    <t>合計 / 鉱産税</t>
  </si>
  <si>
    <t>合計 / 納税義務者</t>
  </si>
  <si>
    <t>値</t>
  </si>
  <si>
    <t>合計 / 総所得</t>
  </si>
  <si>
    <t>合計 / 納税義務者1人当たり所得</t>
  </si>
  <si>
    <t>合計 / 法人数</t>
  </si>
  <si>
    <t>合計 / 軽四輪車台数</t>
  </si>
  <si>
    <t>リンク用</t>
    <rPh sb="3" eb="4">
      <t>ヨウ</t>
    </rPh>
    <phoneticPr fontId="2"/>
  </si>
  <si>
    <t>合計 / 特別土地保有税</t>
  </si>
  <si>
    <t>合計 / 電気税</t>
  </si>
  <si>
    <t>合計 / 収納率</t>
  </si>
  <si>
    <t>合計 / 税収</t>
  </si>
  <si>
    <t>前年度比</t>
    <rPh sb="0" eb="3">
      <t>ゼンネンド</t>
    </rPh>
    <rPh sb="3" eb="4">
      <t>ヒ</t>
    </rPh>
    <phoneticPr fontId="2"/>
  </si>
  <si>
    <t>合計 / 前年度比</t>
  </si>
  <si>
    <t>前年度比</t>
    <rPh sb="0" eb="3">
      <t>ゼンネンド</t>
    </rPh>
    <rPh sb="3" eb="4">
      <t>ヒ</t>
    </rPh>
    <phoneticPr fontId="2"/>
  </si>
  <si>
    <t>年度</t>
    <rPh sb="0" eb="2">
      <t>ネンド</t>
    </rPh>
    <phoneticPr fontId="2"/>
  </si>
  <si>
    <t>1人当たり所得</t>
    <rPh sb="0" eb="2">
      <t>ヒトリ</t>
    </rPh>
    <rPh sb="2" eb="3">
      <t>ア</t>
    </rPh>
    <rPh sb="5" eb="7">
      <t>ショトク</t>
    </rPh>
    <phoneticPr fontId="2"/>
  </si>
  <si>
    <t>1989(H1)</t>
  </si>
  <si>
    <t>1990(H2)</t>
  </si>
  <si>
    <t>1991(H3)</t>
  </si>
  <si>
    <t>1992(H4)</t>
  </si>
  <si>
    <t>1993(H5)</t>
  </si>
  <si>
    <t>1994(H6)</t>
  </si>
  <si>
    <t>1995(H7)</t>
  </si>
  <si>
    <t>1996(H8)</t>
  </si>
  <si>
    <t>1997(H9)</t>
  </si>
  <si>
    <t>1998(H10)</t>
  </si>
  <si>
    <t>1999(H11)</t>
  </si>
  <si>
    <t>2000(H12)</t>
  </si>
  <si>
    <t>2001(H13)</t>
  </si>
  <si>
    <t>2002(H14)</t>
  </si>
  <si>
    <t>2003(H15)</t>
  </si>
  <si>
    <t>2004(H16)</t>
  </si>
  <si>
    <t>2005(H17)</t>
  </si>
  <si>
    <t>2006(H18)</t>
  </si>
  <si>
    <t>2007(H19)</t>
  </si>
  <si>
    <t>2008(H20)</t>
  </si>
  <si>
    <t>2009(H21)</t>
  </si>
  <si>
    <t>2010(H22)</t>
  </si>
  <si>
    <t>2011(H23)</t>
  </si>
  <si>
    <t>2012(H24)</t>
  </si>
  <si>
    <t>2013(H25)</t>
  </si>
  <si>
    <t>2014(H26)</t>
  </si>
  <si>
    <t>2015(H27)</t>
  </si>
  <si>
    <t>2016(H28)</t>
  </si>
  <si>
    <t>2017(H29)</t>
  </si>
  <si>
    <t>2018(H30)</t>
  </si>
  <si>
    <t>2019(R1)</t>
  </si>
  <si>
    <t>2020(R2)</t>
  </si>
  <si>
    <t>2021(R3)</t>
  </si>
  <si>
    <t>2022(R4)</t>
  </si>
  <si>
    <t>2023(R5)</t>
  </si>
  <si>
    <t>西暦</t>
    <rPh sb="0" eb="2">
      <t>セイレキ</t>
    </rPh>
    <phoneticPr fontId="2"/>
  </si>
  <si>
    <t>合計 / 西暦</t>
  </si>
  <si>
    <t>宅地面積</t>
    <rPh sb="0" eb="2">
      <t>タクチ</t>
    </rPh>
    <rPh sb="2" eb="4">
      <t>メンセキ</t>
    </rPh>
    <phoneticPr fontId="2"/>
  </si>
  <si>
    <t>給与所得者の率</t>
    <rPh sb="0" eb="2">
      <t>キュウヨ</t>
    </rPh>
    <rPh sb="2" eb="4">
      <t>ショトク</t>
    </rPh>
    <rPh sb="4" eb="5">
      <t>シャ</t>
    </rPh>
    <rPh sb="6" eb="7">
      <t>リツ</t>
    </rPh>
    <phoneticPr fontId="2"/>
  </si>
  <si>
    <t>給与所得者の率</t>
    <rPh sb="0" eb="2">
      <t>キュウヨ</t>
    </rPh>
    <rPh sb="2" eb="4">
      <t>ショトク</t>
    </rPh>
    <rPh sb="4" eb="5">
      <t>シャ</t>
    </rPh>
    <rPh sb="6" eb="7">
      <t>リツ</t>
    </rPh>
    <phoneticPr fontId="2"/>
  </si>
  <si>
    <t>合計 / 宅地面積</t>
  </si>
  <si>
    <t>合計 / 給与所得者の率</t>
  </si>
  <si>
    <t>宅地面積</t>
    <rPh sb="0" eb="2">
      <t>タクチ</t>
    </rPh>
    <rPh sb="2" eb="4">
      <t>メンセキ</t>
    </rPh>
    <phoneticPr fontId="2"/>
  </si>
  <si>
    <t>世帯数</t>
    <rPh sb="0" eb="3">
      <t>セタイスウ</t>
    </rPh>
    <phoneticPr fontId="2"/>
  </si>
  <si>
    <t>農耕用作業車数</t>
    <rPh sb="0" eb="3">
      <t>ノウコウヨウ</t>
    </rPh>
    <rPh sb="3" eb="6">
      <t>サギョウシャ</t>
    </rPh>
    <rPh sb="6" eb="7">
      <t>スウ</t>
    </rPh>
    <phoneticPr fontId="2"/>
  </si>
  <si>
    <t>５０CCバイク数</t>
    <rPh sb="7" eb="8">
      <t>スウ</t>
    </rPh>
    <phoneticPr fontId="2"/>
  </si>
  <si>
    <t>入湯客数</t>
    <rPh sb="0" eb="2">
      <t>ニュウトウ</t>
    </rPh>
    <rPh sb="2" eb="3">
      <t>キャク</t>
    </rPh>
    <rPh sb="3" eb="4">
      <t>スウ</t>
    </rPh>
    <phoneticPr fontId="2"/>
  </si>
  <si>
    <t>給与所得者数</t>
    <rPh sb="0" eb="2">
      <t>キュウヨ</t>
    </rPh>
    <rPh sb="2" eb="4">
      <t>ショトク</t>
    </rPh>
    <rPh sb="4" eb="5">
      <t>シャ</t>
    </rPh>
    <rPh sb="5" eb="6">
      <t>スウ</t>
    </rPh>
    <phoneticPr fontId="2"/>
  </si>
  <si>
    <t>農業所得者数</t>
    <rPh sb="0" eb="2">
      <t>ノウギョウ</t>
    </rPh>
    <rPh sb="2" eb="4">
      <t>ショトク</t>
    </rPh>
    <rPh sb="4" eb="5">
      <t>シャ</t>
    </rPh>
    <rPh sb="5" eb="6">
      <t>スウ</t>
    </rPh>
    <phoneticPr fontId="2"/>
  </si>
  <si>
    <t>田畑面積</t>
    <rPh sb="0" eb="2">
      <t>タハタ</t>
    </rPh>
    <rPh sb="2" eb="4">
      <t>メンセキ</t>
    </rPh>
    <phoneticPr fontId="2"/>
  </si>
  <si>
    <t>山林面積</t>
    <rPh sb="0" eb="2">
      <t>サンリン</t>
    </rPh>
    <rPh sb="2" eb="4">
      <t>メンセキ</t>
    </rPh>
    <phoneticPr fontId="2"/>
  </si>
  <si>
    <t>木造建物数</t>
    <rPh sb="0" eb="2">
      <t>モクゾウ</t>
    </rPh>
    <rPh sb="2" eb="4">
      <t>タテモノ</t>
    </rPh>
    <rPh sb="4" eb="5">
      <t>スウ</t>
    </rPh>
    <phoneticPr fontId="2"/>
  </si>
  <si>
    <t>非木造建物数</t>
    <rPh sb="0" eb="1">
      <t>ヒ</t>
    </rPh>
    <rPh sb="1" eb="3">
      <t>モクゾウ</t>
    </rPh>
    <rPh sb="3" eb="5">
      <t>タテモノ</t>
    </rPh>
    <rPh sb="5" eb="6">
      <t>スウ</t>
    </rPh>
    <phoneticPr fontId="2"/>
  </si>
  <si>
    <t>人口</t>
    <rPh sb="0" eb="2">
      <t>ジンコウ</t>
    </rPh>
    <phoneticPr fontId="2"/>
  </si>
  <si>
    <t>合計 / 世帯数</t>
  </si>
  <si>
    <t>合計 / 農耕用作業車数</t>
  </si>
  <si>
    <t>合計 / ５０CCバイク数</t>
  </si>
  <si>
    <t>合計 / 入湯客数</t>
  </si>
  <si>
    <t>合計 / 給与所得者数</t>
  </si>
  <si>
    <t>合計 / 農業所得者数</t>
  </si>
  <si>
    <t>合計 / 田畑面積</t>
  </si>
  <si>
    <t>合計 / 山林面積</t>
  </si>
  <si>
    <t>合計 / 木造建物数</t>
  </si>
  <si>
    <t>合計 / 非木造建物数</t>
  </si>
  <si>
    <t>合計 / 人口</t>
  </si>
  <si>
    <t>世帯数</t>
    <rPh sb="0" eb="3">
      <t>セタイスウ</t>
    </rPh>
    <phoneticPr fontId="2"/>
  </si>
  <si>
    <t>農耕用作業車数</t>
    <rPh sb="0" eb="3">
      <t>ノウコウヨウ</t>
    </rPh>
    <rPh sb="3" eb="6">
      <t>サギョウシャ</t>
    </rPh>
    <rPh sb="6" eb="7">
      <t>スウ</t>
    </rPh>
    <phoneticPr fontId="2"/>
  </si>
  <si>
    <t>農業所得者数</t>
    <rPh sb="0" eb="2">
      <t>ノウギョウ</t>
    </rPh>
    <rPh sb="2" eb="4">
      <t>ショトク</t>
    </rPh>
    <rPh sb="4" eb="5">
      <t>シャ</t>
    </rPh>
    <rPh sb="5" eb="6">
      <t>スウ</t>
    </rPh>
    <phoneticPr fontId="2"/>
  </si>
  <si>
    <t>田畑面積</t>
    <rPh sb="0" eb="2">
      <t>タバタ</t>
    </rPh>
    <rPh sb="2" eb="4">
      <t>メンセキ</t>
    </rPh>
    <phoneticPr fontId="2"/>
  </si>
  <si>
    <t>西暦</t>
    <rPh sb="0" eb="2">
      <t>セイレキ</t>
    </rPh>
    <phoneticPr fontId="2"/>
  </si>
  <si>
    <t>鉱物価格</t>
    <rPh sb="0" eb="2">
      <t>コウブツ</t>
    </rPh>
    <rPh sb="2" eb="4">
      <t>カカク</t>
    </rPh>
    <phoneticPr fontId="2"/>
  </si>
  <si>
    <t>合計 / 鉱物価格</t>
  </si>
  <si>
    <t xml:space="preserve"> うごく税金グラフで見る塩尻市</t>
    <rPh sb="4" eb="6">
      <t>ゼイキン</t>
    </rPh>
    <rPh sb="10" eb="11">
      <t>ミ</t>
    </rPh>
    <rPh sb="12" eb="15">
      <t>シオジリシ</t>
    </rPh>
    <phoneticPr fontId="2"/>
  </si>
  <si>
    <t>合計 / たばこ消費本数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</si>
</sst>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%"/>
    <numFmt numFmtId="177" formatCode="\+#,##0;[Red]\▲#,##0;\±0\ "/>
    <numFmt numFmtId="178" formatCode="0.00_ "/>
    <numFmt numFmtId="179" formatCode="#,##0&quot;円&quot;"/>
    <numFmt numFmtId="180" formatCode="#,##0_ "/>
    <numFmt numFmtId="181" formatCode=";;"/>
    <numFmt numFmtId="182" formatCode="#,##0&quot;世帯&quot;"/>
    <numFmt numFmtId="183" formatCode="#,##0&quot;法人&quot;"/>
    <numFmt numFmtId="184" formatCode="#,##0&quot;台&quot;"/>
    <numFmt numFmtId="185" formatCode="#,##0&quot;人&quot;"/>
    <numFmt numFmtId="186" formatCode="#,##0&quot;棟&quot;"/>
    <numFmt numFmtId="187" formatCode="#,##0&quot;千円&quot;"/>
    <numFmt numFmtId="188" formatCode="#,##0&quot;千㎡&quot;"/>
    <numFmt numFmtId="189" formatCode="#,##0&quot;万本&quot;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BIZ UDPゴシック"/>
      <family val="3"/>
      <charset val="128"/>
    </font>
    <font>
      <sz val="18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26"/>
      <color theme="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0" fillId="0" borderId="0" xfId="1" applyFont="1" applyAlignment="1"/>
    <xf numFmtId="176" fontId="0" fillId="0" borderId="0" xfId="0" applyNumberFormat="1"/>
    <xf numFmtId="10" fontId="0" fillId="0" borderId="0" xfId="1" applyNumberFormat="1" applyFont="1" applyAlignment="1"/>
    <xf numFmtId="38" fontId="0" fillId="0" borderId="0" xfId="1" applyFont="1" applyAlignment="1">
      <alignment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77" fontId="0" fillId="0" borderId="0" xfId="1" applyNumberFormat="1" applyFont="1" applyAlignment="1"/>
    <xf numFmtId="177" fontId="0" fillId="0" borderId="2" xfId="1" applyNumberFormat="1" applyFont="1" applyBorder="1" applyAlignment="1"/>
    <xf numFmtId="178" fontId="0" fillId="0" borderId="0" xfId="0" applyNumberFormat="1"/>
    <xf numFmtId="0" fontId="7" fillId="0" borderId="0" xfId="0" applyFont="1"/>
    <xf numFmtId="0" fontId="5" fillId="2" borderId="0" xfId="0" applyFont="1" applyFill="1" applyAlignment="1">
      <alignment horizontal="left" vertical="center"/>
    </xf>
    <xf numFmtId="176" fontId="5" fillId="2" borderId="0" xfId="0" applyNumberFormat="1" applyFont="1" applyFill="1" applyAlignment="1">
      <alignment vertical="center"/>
    </xf>
    <xf numFmtId="180" fontId="0" fillId="0" borderId="0" xfId="0" applyNumberFormat="1"/>
    <xf numFmtId="38" fontId="0" fillId="0" borderId="0" xfId="1" applyFont="1" applyAlignment="1">
      <alignment shrinkToFit="1"/>
    </xf>
    <xf numFmtId="180" fontId="0" fillId="0" borderId="0" xfId="1" applyNumberFormat="1" applyFont="1" applyAlignment="1">
      <alignment shrinkToFit="1"/>
    </xf>
    <xf numFmtId="0" fontId="0" fillId="0" borderId="0" xfId="0" applyAlignment="1">
      <alignment shrinkToFit="1"/>
    </xf>
    <xf numFmtId="179" fontId="5" fillId="2" borderId="0" xfId="0" applyNumberFormat="1" applyFont="1" applyFill="1" applyAlignment="1">
      <alignment vertical="center" shrinkToFit="1"/>
    </xf>
    <xf numFmtId="0" fontId="7" fillId="0" borderId="0" xfId="0" applyFont="1" applyAlignment="1">
      <alignment shrinkToFit="1"/>
    </xf>
    <xf numFmtId="181" fontId="5" fillId="2" borderId="0" xfId="0" applyNumberFormat="1" applyFont="1" applyFill="1" applyAlignment="1">
      <alignment vertical="center" shrinkToFit="1"/>
    </xf>
    <xf numFmtId="0" fontId="0" fillId="0" borderId="0" xfId="1" applyNumberFormat="1" applyFont="1" applyAlignment="1"/>
    <xf numFmtId="38" fontId="8" fillId="0" borderId="0" xfId="1" applyFont="1" applyAlignment="1"/>
    <xf numFmtId="0" fontId="9" fillId="0" borderId="0" xfId="0" applyFont="1"/>
    <xf numFmtId="0" fontId="9" fillId="0" borderId="0" xfId="0" applyFont="1" applyAlignment="1">
      <alignment shrinkToFit="1"/>
    </xf>
    <xf numFmtId="0" fontId="10" fillId="2" borderId="0" xfId="0" applyFont="1" applyFill="1" applyAlignment="1">
      <alignment vertical="center"/>
    </xf>
    <xf numFmtId="181" fontId="10" fillId="2" borderId="0" xfId="0" applyNumberFormat="1" applyFont="1" applyFill="1" applyAlignment="1">
      <alignment vertical="center" shrinkToFit="1"/>
    </xf>
    <xf numFmtId="185" fontId="10" fillId="2" borderId="0" xfId="0" applyNumberFormat="1" applyFont="1" applyFill="1" applyAlignment="1">
      <alignment vertical="center" shrinkToFit="1"/>
    </xf>
    <xf numFmtId="182" fontId="10" fillId="2" borderId="0" xfId="0" applyNumberFormat="1" applyFont="1" applyFill="1" applyAlignment="1">
      <alignment vertical="center" shrinkToFit="1"/>
    </xf>
    <xf numFmtId="183" fontId="10" fillId="2" borderId="0" xfId="0" applyNumberFormat="1" applyFont="1" applyFill="1" applyAlignment="1">
      <alignment vertical="center" shrinkToFit="1"/>
    </xf>
    <xf numFmtId="184" fontId="10" fillId="2" borderId="0" xfId="0" applyNumberFormat="1" applyFont="1" applyFill="1" applyAlignment="1">
      <alignment vertical="center" shrinkToFit="1"/>
    </xf>
    <xf numFmtId="186" fontId="10" fillId="2" borderId="0" xfId="0" applyNumberFormat="1" applyFont="1" applyFill="1" applyAlignment="1">
      <alignment vertical="center" shrinkToFit="1"/>
    </xf>
    <xf numFmtId="0" fontId="11" fillId="2" borderId="1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3" xfId="0" applyFill="1" applyBorder="1" applyProtection="1">
      <protection hidden="1"/>
    </xf>
    <xf numFmtId="0" fontId="3" fillId="2" borderId="0" xfId="0" applyFont="1" applyFill="1" applyProtection="1">
      <protection hidden="1"/>
    </xf>
    <xf numFmtId="0" fontId="0" fillId="2" borderId="4" xfId="0" applyFill="1" applyBorder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9" fontId="3" fillId="2" borderId="0" xfId="0" applyNumberFormat="1" applyFont="1" applyFill="1" applyProtection="1">
      <protection hidden="1"/>
    </xf>
    <xf numFmtId="0" fontId="5" fillId="2" borderId="0" xfId="0" quotePrefix="1" applyFont="1" applyFill="1" applyAlignment="1" applyProtection="1">
      <alignment horizontal="right"/>
      <protection hidden="1"/>
    </xf>
    <xf numFmtId="187" fontId="10" fillId="2" borderId="0" xfId="0" applyNumberFormat="1" applyFont="1" applyFill="1" applyAlignment="1">
      <alignment vertical="center" shrinkToFit="1"/>
    </xf>
    <xf numFmtId="188" fontId="10" fillId="2" borderId="0" xfId="0" applyNumberFormat="1" applyFont="1" applyFill="1" applyAlignment="1">
      <alignment vertical="center" shrinkToFit="1"/>
    </xf>
    <xf numFmtId="189" fontId="10" fillId="2" borderId="0" xfId="0" applyNumberFormat="1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4" formatCode="0.0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80" formatCode="#,##0_ "/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lor theme="0"/>
        <name val="BIZ UDゴシック"/>
        <scheme val="none"/>
      </font>
      <fill>
        <patternFill patternType="solid">
          <fgColor rgb="FF7030A0"/>
          <bgColor rgb="FF7030A0"/>
        </patternFill>
      </fill>
    </dxf>
  </dxfs>
  <tableStyles count="1" defaultTableStyle="TableStyleMedium2" defaultPivotStyle="PivotStyleLight16">
    <tableStyle name="スライサー スタイル 1" pivot="0" table="0" count="5">
      <tableStyleElement type="wholeTable" dxfId="37"/>
    </tableStyle>
  </tableStyles>
  <colors>
    <mruColors>
      <color rgb="FFE2C5FF"/>
      <color rgb="FFCC99FF"/>
      <color rgb="FFCC00FF"/>
    </mruColors>
  </colors>
  <extLst>
    <ext xmlns:x14="http://schemas.microsoft.com/office/spreadsheetml/2009/9/main" uri="{46F421CA-312F-682f-3DD2-61675219B42D}">
      <x14:dxfs count="4">
        <dxf>
          <font>
            <b/>
            <i val="0"/>
            <sz val="12"/>
            <color theme="1"/>
          </font>
          <fill>
            <patternFill>
              <fgColor theme="0"/>
              <bgColor theme="0"/>
            </patternFill>
          </fill>
        </dxf>
        <dxf>
          <font>
            <b/>
            <i val="0"/>
            <sz val="12"/>
            <color theme="0"/>
          </font>
          <fill>
            <patternFill>
              <fgColor rgb="FF7030A0"/>
            </patternFill>
          </fill>
        </dxf>
        <dxf>
          <font>
            <color auto="1"/>
          </font>
          <fill>
            <patternFill>
              <fgColor theme="0"/>
              <bgColor theme="0"/>
            </patternFill>
          </fill>
        </dxf>
        <dxf>
          <font>
            <color theme="0"/>
          </font>
          <fill>
            <patternFill>
              <fgColor rgb="FF7030A0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スライサー スタイル 1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bg1"/>
            </a:solidFill>
            <a:effectLst>
              <a:outerShdw blurRad="127000" algn="ctr" rotWithShape="0">
                <a:srgbClr val="7030A0">
                  <a:alpha val="80000"/>
                </a:srgbClr>
              </a:outerShdw>
            </a:effectLst>
          </c:spPr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>
                <a:outerShdw blurRad="127000" algn="ctr" rotWithShape="0">
                  <a:schemeClr val="bg1">
                    <a:alpha val="8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10-40CF-B599-541F4B92B352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noFill/>
              </a:ln>
              <a:effectLst>
                <a:outerShdw blurRad="127000" algn="ctr" rotWithShape="0">
                  <a:srgbClr val="7030A0">
                    <a:alpha val="8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10-40CF-B599-541F4B92B352}"/>
              </c:ext>
            </c:extLst>
          </c:dPt>
          <c:val>
            <c:numRef>
              <c:f>pivot!$E$21:$F$21</c:f>
              <c:numCache>
                <c:formatCode>0.00_ </c:formatCode>
                <c:ptCount val="2"/>
                <c:pt idx="0">
                  <c:v>77.400000000000006</c:v>
                </c:pt>
                <c:pt idx="1">
                  <c:v>22.599999999999994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10-40CF-B599-541F4B9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  <a:effectLst>
              <a:outerShdw blurRad="127000" algn="ctr" rotWithShape="0">
                <a:schemeClr val="bg1">
                  <a:alpha val="80000"/>
                </a:schemeClr>
              </a:outerShdw>
            </a:effectLst>
          </c:spPr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>
                <a:outerShdw blurRad="127000" algn="ctr" rotWithShape="0">
                  <a:schemeClr val="bg1">
                    <a:alpha val="8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CA2-4DED-B266-328EBBB3225A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A2-4DED-B266-328EBBB3225A}"/>
              </c:ext>
            </c:extLst>
          </c:dPt>
          <c:val>
            <c:numRef>
              <c:f>pivot!$E$14:$F$14</c:f>
              <c:numCache>
                <c:formatCode>0.00_ </c:formatCode>
                <c:ptCount val="2"/>
                <c:pt idx="0">
                  <c:v>98.66</c:v>
                </c:pt>
                <c:pt idx="1">
                  <c:v>1.3400000000000034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DED-B266-328EBBB32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100000">
                  <a:srgbClr val="7030A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numRef>
              <c:f>pivot!$H$2:$H$36</c:f>
              <c:numCache>
                <c:formatCode>General</c:formatCod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pivot!$I$2:$I$36</c:f>
              <c:numCache>
                <c:formatCode>#,##0_ </c:formatCode>
                <c:ptCount val="35"/>
                <c:pt idx="0">
                  <c:v>2559947.0432114126</c:v>
                </c:pt>
                <c:pt idx="1">
                  <c:v>2750700.7143443632</c:v>
                </c:pt>
                <c:pt idx="2">
                  <c:v>2906447.2575501045</c:v>
                </c:pt>
                <c:pt idx="3">
                  <c:v>3217559.4924129494</c:v>
                </c:pt>
                <c:pt idx="4">
                  <c:v>3026952.2735674675</c:v>
                </c:pt>
                <c:pt idx="5">
                  <c:v>3080792.2439703834</c:v>
                </c:pt>
                <c:pt idx="6">
                  <c:v>3096802.2669130187</c:v>
                </c:pt>
                <c:pt idx="7">
                  <c:v>3073333.2170758927</c:v>
                </c:pt>
                <c:pt idx="8">
                  <c:v>3134165.0338070928</c:v>
                </c:pt>
                <c:pt idx="9">
                  <c:v>3163944.6664204411</c:v>
                </c:pt>
                <c:pt idx="10">
                  <c:v>3097608.909411022</c:v>
                </c:pt>
                <c:pt idx="11">
                  <c:v>3065718.8832622604</c:v>
                </c:pt>
                <c:pt idx="12">
                  <c:v>3096191.1102344082</c:v>
                </c:pt>
                <c:pt idx="13">
                  <c:v>3036060.8382600653</c:v>
                </c:pt>
                <c:pt idx="14">
                  <c:v>2923241.6627681614</c:v>
                </c:pt>
                <c:pt idx="15">
                  <c:v>2884331.5520523698</c:v>
                </c:pt>
                <c:pt idx="16">
                  <c:v>2845777.4568269351</c:v>
                </c:pt>
                <c:pt idx="17">
                  <c:v>2708804.3962400579</c:v>
                </c:pt>
                <c:pt idx="18">
                  <c:v>2680296.857607672</c:v>
                </c:pt>
                <c:pt idx="19">
                  <c:v>2664522.0889242664</c:v>
                </c:pt>
                <c:pt idx="20">
                  <c:v>2638184.8445781409</c:v>
                </c:pt>
                <c:pt idx="21">
                  <c:v>2455822.1827336</c:v>
                </c:pt>
                <c:pt idx="22">
                  <c:v>2523933.6868463689</c:v>
                </c:pt>
                <c:pt idx="23">
                  <c:v>2538160.0140774846</c:v>
                </c:pt>
                <c:pt idx="24">
                  <c:v>2441667.5329984813</c:v>
                </c:pt>
                <c:pt idx="25">
                  <c:v>2479363.2034126101</c:v>
                </c:pt>
                <c:pt idx="26">
                  <c:v>2585001.4332095119</c:v>
                </c:pt>
                <c:pt idx="27">
                  <c:v>2627745.1597079956</c:v>
                </c:pt>
                <c:pt idx="28">
                  <c:v>2643291.3365631234</c:v>
                </c:pt>
                <c:pt idx="29">
                  <c:v>2631485.6748068356</c:v>
                </c:pt>
                <c:pt idx="30">
                  <c:v>2659534.6424498651</c:v>
                </c:pt>
                <c:pt idx="31">
                  <c:v>2660502.6066808263</c:v>
                </c:pt>
                <c:pt idx="32">
                  <c:v>2708666.1120354966</c:v>
                </c:pt>
                <c:pt idx="33">
                  <c:v>2792141.3112491374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1-4B0E-A815-0D8BE9672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866928"/>
        <c:axId val="508869224"/>
      </c:barChart>
      <c:catAx>
        <c:axId val="50886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508869224"/>
        <c:crosses val="autoZero"/>
        <c:auto val="1"/>
        <c:lblAlgn val="ctr"/>
        <c:lblOffset val="100"/>
        <c:noMultiLvlLbl val="0"/>
      </c:catAx>
      <c:valAx>
        <c:axId val="508869224"/>
        <c:scaling>
          <c:orientation val="minMax"/>
          <c:min val="1000000"/>
        </c:scaling>
        <c:delete val="1"/>
        <c:axPos val="l"/>
        <c:numFmt formatCode="#,##0_ " sourceLinked="1"/>
        <c:majorTickMark val="none"/>
        <c:minorTickMark val="none"/>
        <c:tickLblPos val="nextTo"/>
        <c:crossAx val="50886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100000">
                  <a:srgbClr val="7030A0"/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numRef>
              <c:f>pivot!$K$2:$K$36</c:f>
              <c:numCache>
                <c:formatCode>General</c:formatCod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pivot!$L$2:$L$36</c:f>
              <c:numCache>
                <c:formatCode>#,##0_ </c:formatCode>
                <c:ptCount val="35"/>
                <c:pt idx="0">
                  <c:v>9217</c:v>
                </c:pt>
                <c:pt idx="1">
                  <c:v>9546</c:v>
                </c:pt>
                <c:pt idx="2">
                  <c:v>9865</c:v>
                </c:pt>
                <c:pt idx="3">
                  <c:v>9982</c:v>
                </c:pt>
                <c:pt idx="4">
                  <c:v>10186</c:v>
                </c:pt>
                <c:pt idx="5">
                  <c:v>10477</c:v>
                </c:pt>
                <c:pt idx="6">
                  <c:v>10649</c:v>
                </c:pt>
                <c:pt idx="7">
                  <c:v>10836</c:v>
                </c:pt>
                <c:pt idx="8">
                  <c:v>10943</c:v>
                </c:pt>
                <c:pt idx="9">
                  <c:v>11031</c:v>
                </c:pt>
                <c:pt idx="10">
                  <c:v>11246</c:v>
                </c:pt>
                <c:pt idx="11">
                  <c:v>11352</c:v>
                </c:pt>
                <c:pt idx="12">
                  <c:v>11465</c:v>
                </c:pt>
                <c:pt idx="13">
                  <c:v>11641</c:v>
                </c:pt>
                <c:pt idx="14">
                  <c:v>11806</c:v>
                </c:pt>
                <c:pt idx="15">
                  <c:v>11872</c:v>
                </c:pt>
                <c:pt idx="16">
                  <c:v>11908</c:v>
                </c:pt>
                <c:pt idx="17">
                  <c:v>12545</c:v>
                </c:pt>
                <c:pt idx="18">
                  <c:v>12673</c:v>
                </c:pt>
                <c:pt idx="19">
                  <c:v>12735</c:v>
                </c:pt>
                <c:pt idx="20">
                  <c:v>12788</c:v>
                </c:pt>
                <c:pt idx="21">
                  <c:v>12833</c:v>
                </c:pt>
                <c:pt idx="22">
                  <c:v>12910</c:v>
                </c:pt>
                <c:pt idx="23">
                  <c:v>12998</c:v>
                </c:pt>
                <c:pt idx="24">
                  <c:v>13033</c:v>
                </c:pt>
                <c:pt idx="25">
                  <c:v>13065</c:v>
                </c:pt>
                <c:pt idx="26">
                  <c:v>13018</c:v>
                </c:pt>
                <c:pt idx="27">
                  <c:v>13058</c:v>
                </c:pt>
                <c:pt idx="28">
                  <c:v>13116</c:v>
                </c:pt>
                <c:pt idx="29">
                  <c:v>13150</c:v>
                </c:pt>
                <c:pt idx="30">
                  <c:v>13191</c:v>
                </c:pt>
                <c:pt idx="31">
                  <c:v>13218</c:v>
                </c:pt>
                <c:pt idx="32">
                  <c:v>13259</c:v>
                </c:pt>
                <c:pt idx="33">
                  <c:v>13299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A-4B6B-9490-4DC92524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874968"/>
        <c:axId val="526870376"/>
      </c:barChart>
      <c:catAx>
        <c:axId val="52687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526870376"/>
        <c:crosses val="autoZero"/>
        <c:auto val="1"/>
        <c:lblAlgn val="ctr"/>
        <c:lblOffset val="100"/>
        <c:noMultiLvlLbl val="0"/>
      </c:catAx>
      <c:valAx>
        <c:axId val="526870376"/>
        <c:scaling>
          <c:orientation val="minMax"/>
          <c:max val="20000"/>
          <c:min val="5000"/>
        </c:scaling>
        <c:delete val="1"/>
        <c:axPos val="l"/>
        <c:numFmt formatCode="#,##0_ " sourceLinked="1"/>
        <c:majorTickMark val="none"/>
        <c:minorTickMark val="none"/>
        <c:tickLblPos val="nextTo"/>
        <c:crossAx val="52687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208952</xdr:colOff>
      <xdr:row>2</xdr:row>
      <xdr:rowOff>190500</xdr:rowOff>
    </xdr:from>
    <xdr:to>
      <xdr:col>8</xdr:col>
      <xdr:colOff>609600</xdr:colOff>
      <xdr:row>10</xdr:row>
      <xdr:rowOff>209550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年度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度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8952" y="933450"/>
              <a:ext cx="5734648" cy="1924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 fLocksWithSheet="0" fPrintsWithSheet="0"/>
  </xdr:twoCellAnchor>
  <xdr:twoCellAnchor>
    <xdr:from>
      <xdr:col>13</xdr:col>
      <xdr:colOff>85725</xdr:colOff>
      <xdr:row>1</xdr:row>
      <xdr:rowOff>94720</xdr:rowOff>
    </xdr:from>
    <xdr:to>
      <xdr:col>19</xdr:col>
      <xdr:colOff>190500</xdr:colOff>
      <xdr:row>11</xdr:row>
      <xdr:rowOff>180976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</xdr:row>
      <xdr:rowOff>95250</xdr:rowOff>
    </xdr:from>
    <xdr:to>
      <xdr:col>14</xdr:col>
      <xdr:colOff>561975</xdr:colOff>
      <xdr:row>11</xdr:row>
      <xdr:rowOff>181506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38102</xdr:colOff>
      <xdr:row>13</xdr:row>
      <xdr:rowOff>0</xdr:rowOff>
    </xdr:from>
    <xdr:to>
      <xdr:col>8</xdr:col>
      <xdr:colOff>409578</xdr:colOff>
      <xdr:row>14</xdr:row>
      <xdr:rowOff>95781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5372102" y="3362325"/>
          <a:ext cx="371476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0</xdr:col>
      <xdr:colOff>511969</xdr:colOff>
      <xdr:row>11</xdr:row>
      <xdr:rowOff>86256</xdr:rowOff>
    </xdr:from>
    <xdr:to>
      <xdr:col>8</xdr:col>
      <xdr:colOff>114300</xdr:colOff>
      <xdr:row>15</xdr:row>
      <xdr:rowOff>0</xdr:rowOff>
    </xdr:to>
    <xdr:sp macro="" textlink="pivot!E12">
      <xdr:nvSpPr>
        <xdr:cNvPr id="5" name="テキスト ボックス 4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511969" y="2967569"/>
          <a:ext cx="4936331" cy="86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536E15FB-FF88-430B-A6E8-D943B7A1875D}" type="TxLink">
            <a:rPr kumimoji="1" lang="en-US" altLang="en-US" sz="4000" b="0" i="0" u="none" strike="noStrik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r"/>
            <a:t>10,293,069,573</a:t>
          </a:fld>
          <a:endParaRPr kumimoji="1" lang="en-US" altLang="ja-JP" sz="115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208953</xdr:colOff>
      <xdr:row>15</xdr:row>
      <xdr:rowOff>123295</xdr:rowOff>
    </xdr:from>
    <xdr:to>
      <xdr:col>2</xdr:col>
      <xdr:colOff>75602</xdr:colOff>
      <xdr:row>16</xdr:row>
      <xdr:rowOff>219076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208953" y="3961870"/>
          <a:ext cx="1200149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市税の内訳</a:t>
          </a:r>
          <a:endParaRPr kumimoji="1" lang="en-US" altLang="ja-JP" sz="16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47624</xdr:colOff>
      <xdr:row>11</xdr:row>
      <xdr:rowOff>152400</xdr:rowOff>
    </xdr:from>
    <xdr:to>
      <xdr:col>12</xdr:col>
      <xdr:colOff>219075</xdr:colOff>
      <xdr:row>13</xdr:row>
      <xdr:rowOff>10056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6048374" y="3038475"/>
          <a:ext cx="2171701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人当たり所得推移</a:t>
          </a:r>
        </a:p>
      </xdr:txBody>
    </xdr:sp>
    <xdr:clientData/>
  </xdr:twoCellAnchor>
  <xdr:twoCellAnchor>
    <xdr:from>
      <xdr:col>3</xdr:col>
      <xdr:colOff>618147</xdr:colOff>
      <xdr:row>14</xdr:row>
      <xdr:rowOff>95781</xdr:rowOff>
    </xdr:from>
    <xdr:to>
      <xdr:col>8</xdr:col>
      <xdr:colOff>542924</xdr:colOff>
      <xdr:row>15</xdr:row>
      <xdr:rowOff>191562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2618397" y="3696231"/>
          <a:ext cx="3258527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前年度比（　             　　　　　　              　 ）　</a:t>
          </a:r>
          <a:endParaRPr kumimoji="1" lang="en-US" altLang="ja-JP" sz="12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609597</xdr:colOff>
      <xdr:row>14</xdr:row>
      <xdr:rowOff>67737</xdr:rowOff>
    </xdr:from>
    <xdr:to>
      <xdr:col>8</xdr:col>
      <xdr:colOff>285750</xdr:colOff>
      <xdr:row>15</xdr:row>
      <xdr:rowOff>163518</xdr:rowOff>
    </xdr:to>
    <xdr:sp macro="" textlink="pivot!E13">
      <xdr:nvSpPr>
        <xdr:cNvPr id="20" name="テキスト ボックス 19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3276597" y="3668187"/>
          <a:ext cx="2343153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7D9DC269-4879-4129-919E-8ACEA628093F}" type="TxLink">
            <a:rPr kumimoji="1" lang="en-US" altLang="en-US" sz="1600" b="0" i="0" u="none" strike="noStrik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r"/>
            <a:t>+355,136,114</a:t>
          </a:fld>
          <a:endParaRPr kumimoji="1" lang="en-US" altLang="ja-JP" sz="2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628652</xdr:colOff>
      <xdr:row>5</xdr:row>
      <xdr:rowOff>237594</xdr:rowOff>
    </xdr:from>
    <xdr:to>
      <xdr:col>12</xdr:col>
      <xdr:colOff>428629</xdr:colOff>
      <xdr:row>8</xdr:row>
      <xdr:rowOff>0</xdr:rowOff>
    </xdr:to>
    <xdr:sp macro="" textlink="pivot!E14">
      <xdr:nvSpPr>
        <xdr:cNvPr id="22" name="テキスト ボックス 21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6629402" y="1694919"/>
          <a:ext cx="1800227" cy="476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F329BF09-7978-4E35-A442-D16CB03204CF}" type="TxLink">
            <a:rPr kumimoji="1" lang="en-US" altLang="en-US" sz="2400" b="0" i="0" u="none" strike="noStrik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r"/>
            <a:t>98.66 </a:t>
          </a:fld>
          <a:endParaRPr kumimoji="1" lang="en-US" altLang="ja-JP" sz="2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457204</xdr:colOff>
      <xdr:row>4</xdr:row>
      <xdr:rowOff>141813</xdr:rowOff>
    </xdr:from>
    <xdr:to>
      <xdr:col>12</xdr:col>
      <xdr:colOff>466729</xdr:colOff>
      <xdr:row>5</xdr:row>
      <xdr:rowOff>237594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7124704" y="1361013"/>
          <a:ext cx="1343025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収納率</a:t>
          </a:r>
        </a:p>
      </xdr:txBody>
    </xdr:sp>
    <xdr:clientData/>
  </xdr:twoCellAnchor>
  <xdr:twoCellAnchor>
    <xdr:from>
      <xdr:col>11</xdr:col>
      <xdr:colOff>142877</xdr:colOff>
      <xdr:row>7</xdr:row>
      <xdr:rowOff>123825</xdr:rowOff>
    </xdr:from>
    <xdr:to>
      <xdr:col>12</xdr:col>
      <xdr:colOff>142875</xdr:colOff>
      <xdr:row>8</xdr:row>
      <xdr:rowOff>219606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7477127" y="2057400"/>
          <a:ext cx="666748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%</a:t>
          </a:r>
          <a:endParaRPr kumimoji="1" lang="ja-JP" altLang="en-US" sz="16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16</xdr:row>
          <xdr:rowOff>200025</xdr:rowOff>
        </xdr:from>
        <xdr:to>
          <xdr:col>8</xdr:col>
          <xdr:colOff>419100</xdr:colOff>
          <xdr:row>27</xdr:row>
          <xdr:rowOff>190500</xdr:rowOff>
        </xdr:to>
        <xdr:pic>
          <xdr:nvPicPr>
            <xdr:cNvPr id="24" name="図 23"/>
            <xdr:cNvPicPr>
              <a:picLocks noChangeAspect="1" noChangeArrowheads="1"/>
              <a:extLst>
                <a:ext uri="{84589F7E-364E-4C9E-8A38-B11213B215E9}">
                  <a14:cameraTool cellRange="camera!$A$1:$D$10" spid="_x0000_s124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61950" y="4276725"/>
              <a:ext cx="5391150" cy="26098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142874</xdr:colOff>
      <xdr:row>12</xdr:row>
      <xdr:rowOff>28575</xdr:rowOff>
    </xdr:from>
    <xdr:to>
      <xdr:col>18</xdr:col>
      <xdr:colOff>285749</xdr:colOff>
      <xdr:row>19</xdr:row>
      <xdr:rowOff>209549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123827</xdr:colOff>
      <xdr:row>5</xdr:row>
      <xdr:rowOff>228069</xdr:rowOff>
    </xdr:from>
    <xdr:to>
      <xdr:col>16</xdr:col>
      <xdr:colOff>590554</xdr:colOff>
      <xdr:row>7</xdr:row>
      <xdr:rowOff>228600</xdr:rowOff>
    </xdr:to>
    <xdr:sp macro="" textlink="pivot!E21">
      <xdr:nvSpPr>
        <xdr:cNvPr id="28" name="テキスト ボックス 27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9458327" y="1685394"/>
          <a:ext cx="1800227" cy="476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EAD8C542-BD4D-4452-ABB1-576CBED004AE}" type="TxLink">
            <a:rPr kumimoji="1" lang="en-US" altLang="en-US" sz="2400" b="0" i="0" u="none" strike="noStrik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r"/>
            <a:t>77.40 </a:t>
          </a:fld>
          <a:endParaRPr kumimoji="1" lang="en-US" altLang="ja-JP" sz="8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619129</xdr:colOff>
      <xdr:row>3</xdr:row>
      <xdr:rowOff>171450</xdr:rowOff>
    </xdr:from>
    <xdr:to>
      <xdr:col>16</xdr:col>
      <xdr:colOff>628654</xdr:colOff>
      <xdr:row>6</xdr:row>
      <xdr:rowOff>152400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9953629" y="1152525"/>
          <a:ext cx="134302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給与所得者の割合</a:t>
          </a:r>
        </a:p>
      </xdr:txBody>
    </xdr:sp>
    <xdr:clientData/>
  </xdr:twoCellAnchor>
  <xdr:twoCellAnchor>
    <xdr:from>
      <xdr:col>15</xdr:col>
      <xdr:colOff>304802</xdr:colOff>
      <xdr:row>7</xdr:row>
      <xdr:rowOff>123825</xdr:rowOff>
    </xdr:from>
    <xdr:to>
      <xdr:col>16</xdr:col>
      <xdr:colOff>304800</xdr:colOff>
      <xdr:row>8</xdr:row>
      <xdr:rowOff>219606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10306052" y="2057400"/>
          <a:ext cx="666748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%</a:t>
          </a:r>
          <a:endParaRPr kumimoji="1" lang="ja-JP" altLang="en-US" sz="16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647701</xdr:colOff>
      <xdr:row>0</xdr:row>
      <xdr:rowOff>28575</xdr:rowOff>
    </xdr:from>
    <xdr:to>
      <xdr:col>21</xdr:col>
      <xdr:colOff>239469</xdr:colOff>
      <xdr:row>0</xdr:row>
      <xdr:rowOff>498425</xdr:rowOff>
    </xdr:to>
    <xdr:grpSp>
      <xdr:nvGrpSpPr>
        <xdr:cNvPr id="31" name="Group 2"/>
        <xdr:cNvGrpSpPr>
          <a:grpSpLocks/>
        </xdr:cNvGrpSpPr>
      </xdr:nvGrpSpPr>
      <xdr:grpSpPr bwMode="auto">
        <a:xfrm rot="482455">
          <a:off x="13851732" y="28575"/>
          <a:ext cx="258518" cy="469850"/>
          <a:chOff x="109120537" y="109849750"/>
          <a:chExt cx="343295" cy="768187"/>
        </a:xfrm>
        <a:solidFill>
          <a:srgbClr val="CC99FF"/>
        </a:solidFill>
      </xdr:grpSpPr>
      <xdr:sp macro="" textlink="">
        <xdr:nvSpPr>
          <xdr:cNvPr id="36" name="Freeform 3"/>
          <xdr:cNvSpPr>
            <a:spLocks/>
          </xdr:cNvSpPr>
        </xdr:nvSpPr>
        <xdr:spPr bwMode="auto">
          <a:xfrm rot="-592301">
            <a:off x="109124415" y="110186364"/>
            <a:ext cx="272436" cy="431573"/>
          </a:xfrm>
          <a:custGeom>
            <a:avLst/>
            <a:gdLst>
              <a:gd name="T0" fmla="*/ 161806 w 247783"/>
              <a:gd name="T1" fmla="*/ 15872 h 412891"/>
              <a:gd name="T2" fmla="*/ 162214 w 247783"/>
              <a:gd name="T3" fmla="*/ 115406 h 412891"/>
              <a:gd name="T4" fmla="*/ 113264 w 247783"/>
              <a:gd name="T5" fmla="*/ 349626 h 412891"/>
              <a:gd name="T6" fmla="*/ 18888 w 247783"/>
              <a:gd name="T7" fmla="*/ 376198 h 412891"/>
              <a:gd name="T8" fmla="*/ 226598 w 247783"/>
              <a:gd name="T9" fmla="*/ 409394 h 412891"/>
              <a:gd name="T10" fmla="*/ 146002 w 247783"/>
              <a:gd name="T11" fmla="*/ 355212 h 412891"/>
              <a:gd name="T12" fmla="*/ 181665 w 247783"/>
              <a:gd name="T13" fmla="*/ 119486 h 412891"/>
              <a:gd name="T14" fmla="*/ 227135 w 247783"/>
              <a:gd name="T15" fmla="*/ 20175 h 412891"/>
              <a:gd name="T16" fmla="*/ 161806 w 247783"/>
              <a:gd name="T17" fmla="*/ 15872 h 4128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47783" h="412891">
                <a:moveTo>
                  <a:pt x="161806" y="15872"/>
                </a:moveTo>
                <a:cubicBezTo>
                  <a:pt x="150986" y="31744"/>
                  <a:pt x="170304" y="59780"/>
                  <a:pt x="162214" y="115406"/>
                </a:cubicBezTo>
                <a:cubicBezTo>
                  <a:pt x="154124" y="171032"/>
                  <a:pt x="137152" y="306161"/>
                  <a:pt x="113264" y="349626"/>
                </a:cubicBezTo>
                <a:cubicBezTo>
                  <a:pt x="89377" y="393092"/>
                  <a:pt x="0" y="366237"/>
                  <a:pt x="18888" y="376198"/>
                </a:cubicBezTo>
                <a:cubicBezTo>
                  <a:pt x="37777" y="386159"/>
                  <a:pt x="205413" y="412891"/>
                  <a:pt x="226598" y="409394"/>
                </a:cubicBezTo>
                <a:cubicBezTo>
                  <a:pt x="247783" y="405896"/>
                  <a:pt x="153491" y="403530"/>
                  <a:pt x="146002" y="355212"/>
                </a:cubicBezTo>
                <a:cubicBezTo>
                  <a:pt x="138514" y="306895"/>
                  <a:pt x="168143" y="175325"/>
                  <a:pt x="181665" y="119486"/>
                </a:cubicBezTo>
                <a:cubicBezTo>
                  <a:pt x="195187" y="63646"/>
                  <a:pt x="230445" y="37444"/>
                  <a:pt x="227135" y="20175"/>
                </a:cubicBezTo>
                <a:cubicBezTo>
                  <a:pt x="223825" y="2906"/>
                  <a:pt x="172626" y="0"/>
                  <a:pt x="161806" y="15872"/>
                </a:cubicBezTo>
                <a:close/>
              </a:path>
            </a:pathLst>
          </a:cu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25400" cap="flat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CCCCC"/>
                  </a:outerShdw>
                </a:effectLst>
              </a14:hiddenEffects>
            </a:ext>
          </a:extLst>
        </xdr:spPr>
        <xdr:txBody>
          <a:bodyPr vert="horz" wrap="square" lIns="36576" tIns="36576" rIns="36576" bIns="36576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7" name="Freeform 4"/>
          <xdr:cNvSpPr>
            <a:spLocks/>
          </xdr:cNvSpPr>
        </xdr:nvSpPr>
        <xdr:spPr bwMode="auto">
          <a:xfrm>
            <a:off x="109120537" y="109849750"/>
            <a:ext cx="255976" cy="400056"/>
          </a:xfrm>
          <a:custGeom>
            <a:avLst/>
            <a:gdLst>
              <a:gd name="T0" fmla="*/ 222219 w 255976"/>
              <a:gd name="T1" fmla="*/ 22 h 400056"/>
              <a:gd name="T2" fmla="*/ 237718 w 255976"/>
              <a:gd name="T3" fmla="*/ 210357 h 400056"/>
              <a:gd name="T4" fmla="*/ 246574 w 255976"/>
              <a:gd name="T5" fmla="*/ 301132 h 400056"/>
              <a:gd name="T6" fmla="*/ 181308 w 255976"/>
              <a:gd name="T7" fmla="*/ 399941 h 400056"/>
              <a:gd name="T8" fmla="*/ 71001 w 255976"/>
              <a:gd name="T9" fmla="*/ 370275 h 400056"/>
              <a:gd name="T10" fmla="*/ 7709 w 255976"/>
              <a:gd name="T11" fmla="*/ 254564 h 400056"/>
              <a:gd name="T12" fmla="*/ 117253 w 255976"/>
              <a:gd name="T13" fmla="*/ 0 h 400056"/>
              <a:gd name="T14" fmla="*/ 222219 w 255976"/>
              <a:gd name="T15" fmla="*/ 22 h 4000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55976" h="400056">
                <a:moveTo>
                  <a:pt x="222219" y="22"/>
                </a:moveTo>
                <a:cubicBezTo>
                  <a:pt x="242296" y="35081"/>
                  <a:pt x="233659" y="160172"/>
                  <a:pt x="237718" y="210357"/>
                </a:cubicBezTo>
                <a:cubicBezTo>
                  <a:pt x="241578" y="270900"/>
                  <a:pt x="255976" y="269535"/>
                  <a:pt x="246574" y="301132"/>
                </a:cubicBezTo>
                <a:cubicBezTo>
                  <a:pt x="237172" y="332729"/>
                  <a:pt x="210570" y="388417"/>
                  <a:pt x="181308" y="399941"/>
                </a:cubicBezTo>
                <a:cubicBezTo>
                  <a:pt x="144386" y="400056"/>
                  <a:pt x="100742" y="393638"/>
                  <a:pt x="71001" y="370275"/>
                </a:cubicBezTo>
                <a:cubicBezTo>
                  <a:pt x="42068" y="346045"/>
                  <a:pt x="0" y="316277"/>
                  <a:pt x="7709" y="254564"/>
                </a:cubicBezTo>
                <a:cubicBezTo>
                  <a:pt x="9527" y="194003"/>
                  <a:pt x="77999" y="41373"/>
                  <a:pt x="117253" y="0"/>
                </a:cubicBezTo>
                <a:lnTo>
                  <a:pt x="222219" y="22"/>
                </a:lnTo>
                <a:close/>
              </a:path>
            </a:pathLst>
          </a:cu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25400" cap="flat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CCCCC"/>
                  </a:outerShdw>
                </a:effectLst>
              </a14:hiddenEffects>
            </a:ext>
          </a:extLst>
        </xdr:spPr>
        <xdr:txBody>
          <a:bodyPr vert="horz" wrap="square" lIns="36576" tIns="36576" rIns="36576" bIns="36576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8" name="Freeform 5"/>
          <xdr:cNvSpPr>
            <a:spLocks/>
          </xdr:cNvSpPr>
        </xdr:nvSpPr>
        <xdr:spPr bwMode="auto">
          <a:xfrm flipH="1">
            <a:off x="109207856" y="109849750"/>
            <a:ext cx="255976" cy="400056"/>
          </a:xfrm>
          <a:custGeom>
            <a:avLst/>
            <a:gdLst>
              <a:gd name="T0" fmla="*/ 222219 w 255976"/>
              <a:gd name="T1" fmla="*/ 22 h 400056"/>
              <a:gd name="T2" fmla="*/ 237718 w 255976"/>
              <a:gd name="T3" fmla="*/ 210357 h 400056"/>
              <a:gd name="T4" fmla="*/ 246574 w 255976"/>
              <a:gd name="T5" fmla="*/ 301132 h 400056"/>
              <a:gd name="T6" fmla="*/ 181308 w 255976"/>
              <a:gd name="T7" fmla="*/ 399941 h 400056"/>
              <a:gd name="T8" fmla="*/ 71001 w 255976"/>
              <a:gd name="T9" fmla="*/ 370275 h 400056"/>
              <a:gd name="T10" fmla="*/ 7709 w 255976"/>
              <a:gd name="T11" fmla="*/ 254564 h 400056"/>
              <a:gd name="T12" fmla="*/ 117253 w 255976"/>
              <a:gd name="T13" fmla="*/ 0 h 400056"/>
              <a:gd name="T14" fmla="*/ 222219 w 255976"/>
              <a:gd name="T15" fmla="*/ 22 h 4000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55976" h="400056">
                <a:moveTo>
                  <a:pt x="222219" y="22"/>
                </a:moveTo>
                <a:cubicBezTo>
                  <a:pt x="242296" y="35081"/>
                  <a:pt x="233659" y="160172"/>
                  <a:pt x="237718" y="210357"/>
                </a:cubicBezTo>
                <a:cubicBezTo>
                  <a:pt x="241578" y="270900"/>
                  <a:pt x="255976" y="269535"/>
                  <a:pt x="246574" y="301132"/>
                </a:cubicBezTo>
                <a:cubicBezTo>
                  <a:pt x="237172" y="332729"/>
                  <a:pt x="210570" y="388417"/>
                  <a:pt x="181308" y="399941"/>
                </a:cubicBezTo>
                <a:cubicBezTo>
                  <a:pt x="144386" y="400056"/>
                  <a:pt x="100742" y="393638"/>
                  <a:pt x="71001" y="370275"/>
                </a:cubicBezTo>
                <a:cubicBezTo>
                  <a:pt x="42068" y="346045"/>
                  <a:pt x="0" y="316277"/>
                  <a:pt x="7709" y="254564"/>
                </a:cubicBezTo>
                <a:cubicBezTo>
                  <a:pt x="9527" y="194003"/>
                  <a:pt x="77999" y="41373"/>
                  <a:pt x="117253" y="0"/>
                </a:cubicBezTo>
                <a:lnTo>
                  <a:pt x="222219" y="22"/>
                </a:lnTo>
                <a:close/>
              </a:path>
            </a:pathLst>
          </a:cu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25400" cap="flat" algn="ctr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CCCCC"/>
                  </a:outerShdw>
                </a:effectLst>
              </a14:hiddenEffects>
            </a:ext>
          </a:extLst>
        </xdr:spPr>
        <xdr:txBody>
          <a:bodyPr vert="horz" wrap="square" lIns="36576" tIns="36576" rIns="36576" bIns="36576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21</xdr:col>
      <xdr:colOff>297646</xdr:colOff>
      <xdr:row>0</xdr:row>
      <xdr:rowOff>114219</xdr:rowOff>
    </xdr:from>
    <xdr:to>
      <xdr:col>21</xdr:col>
      <xdr:colOff>405323</xdr:colOff>
      <xdr:row>0</xdr:row>
      <xdr:rowOff>482870</xdr:rowOff>
    </xdr:to>
    <xdr:grpSp>
      <xdr:nvGrpSpPr>
        <xdr:cNvPr id="32" name="Group 6"/>
        <xdr:cNvGrpSpPr>
          <a:grpSpLocks/>
        </xdr:cNvGrpSpPr>
      </xdr:nvGrpSpPr>
      <xdr:grpSpPr bwMode="auto">
        <a:xfrm rot="20877746">
          <a:off x="14168427" y="114219"/>
          <a:ext cx="107677" cy="368651"/>
          <a:chOff x="109582742" y="109963029"/>
          <a:chExt cx="173433" cy="595194"/>
        </a:xfrm>
        <a:solidFill>
          <a:srgbClr val="BA8CDC"/>
        </a:solidFill>
      </xdr:grpSpPr>
      <xdr:sp macro="" textlink="">
        <xdr:nvSpPr>
          <xdr:cNvPr id="34" name="Freeform 7"/>
          <xdr:cNvSpPr>
            <a:spLocks/>
          </xdr:cNvSpPr>
        </xdr:nvSpPr>
        <xdr:spPr bwMode="auto">
          <a:xfrm>
            <a:off x="109582742" y="110147142"/>
            <a:ext cx="173433" cy="411081"/>
          </a:xfrm>
          <a:custGeom>
            <a:avLst/>
            <a:gdLst>
              <a:gd name="T0" fmla="*/ 49237 w 173433"/>
              <a:gd name="T1" fmla="*/ 19735 h 411081"/>
              <a:gd name="T2" fmla="*/ 80928 w 173433"/>
              <a:gd name="T3" fmla="*/ 121955 h 411081"/>
              <a:gd name="T4" fmla="*/ 72072 w 173433"/>
              <a:gd name="T5" fmla="*/ 361072 h 411081"/>
              <a:gd name="T6" fmla="*/ 14368 w 173433"/>
              <a:gd name="T7" fmla="*/ 403937 h 411081"/>
              <a:gd name="T8" fmla="*/ 158281 w 173433"/>
              <a:gd name="T9" fmla="*/ 403937 h 411081"/>
              <a:gd name="T10" fmla="*/ 105283 w 173433"/>
              <a:gd name="T11" fmla="*/ 361072 h 411081"/>
              <a:gd name="T12" fmla="*/ 100788 w 173433"/>
              <a:gd name="T13" fmla="*/ 122705 h 411081"/>
              <a:gd name="T14" fmla="*/ 128906 w 173433"/>
              <a:gd name="T15" fmla="*/ 17161 h 411081"/>
              <a:gd name="T16" fmla="*/ 49237 w 173433"/>
              <a:gd name="T17" fmla="*/ 19735 h 4110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73433" h="411081">
                <a:moveTo>
                  <a:pt x="49237" y="19735"/>
                </a:moveTo>
                <a:cubicBezTo>
                  <a:pt x="41241" y="37201"/>
                  <a:pt x="77122" y="65065"/>
                  <a:pt x="80928" y="121955"/>
                </a:cubicBezTo>
                <a:cubicBezTo>
                  <a:pt x="84734" y="178845"/>
                  <a:pt x="83165" y="314075"/>
                  <a:pt x="72072" y="361072"/>
                </a:cubicBezTo>
                <a:cubicBezTo>
                  <a:pt x="60979" y="408069"/>
                  <a:pt x="0" y="396793"/>
                  <a:pt x="14368" y="403937"/>
                </a:cubicBezTo>
                <a:cubicBezTo>
                  <a:pt x="28736" y="411081"/>
                  <a:pt x="143129" y="411081"/>
                  <a:pt x="158281" y="403937"/>
                </a:cubicBezTo>
                <a:cubicBezTo>
                  <a:pt x="173433" y="396793"/>
                  <a:pt x="114865" y="407944"/>
                  <a:pt x="105283" y="361072"/>
                </a:cubicBezTo>
                <a:cubicBezTo>
                  <a:pt x="95701" y="314200"/>
                  <a:pt x="96851" y="180023"/>
                  <a:pt x="100788" y="122705"/>
                </a:cubicBezTo>
                <a:cubicBezTo>
                  <a:pt x="104725" y="65387"/>
                  <a:pt x="137498" y="34322"/>
                  <a:pt x="128906" y="17161"/>
                </a:cubicBezTo>
                <a:cubicBezTo>
                  <a:pt x="120314" y="0"/>
                  <a:pt x="57828" y="1716"/>
                  <a:pt x="49237" y="19735"/>
                </a:cubicBezTo>
                <a:close/>
              </a:path>
            </a:pathLst>
          </a:cu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25400" cap="flat" algn="ctr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CCCCC"/>
                  </a:outerShdw>
                </a:effectLst>
              </a14:hiddenEffects>
            </a:ext>
          </a:extLst>
        </xdr:spPr>
        <xdr:txBody>
          <a:bodyPr vert="horz" wrap="square" lIns="36576" tIns="36576" rIns="36576" bIns="36576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5" name="Freeform 8"/>
          <xdr:cNvSpPr>
            <a:spLocks/>
          </xdr:cNvSpPr>
        </xdr:nvSpPr>
        <xdr:spPr bwMode="auto">
          <a:xfrm>
            <a:off x="109596415" y="109963029"/>
            <a:ext cx="148508" cy="361050"/>
          </a:xfrm>
          <a:custGeom>
            <a:avLst/>
            <a:gdLst>
              <a:gd name="T0" fmla="*/ 100342 w 148508"/>
              <a:gd name="T1" fmla="*/ 0 h 361050"/>
              <a:gd name="T2" fmla="*/ 146837 w 148508"/>
              <a:gd name="T3" fmla="*/ 172695 h 361050"/>
              <a:gd name="T4" fmla="*/ 121836 w 148508"/>
              <a:gd name="T5" fmla="*/ 287042 h 361050"/>
              <a:gd name="T6" fmla="*/ 75988 w 148508"/>
              <a:gd name="T7" fmla="*/ 360889 h 361050"/>
              <a:gd name="T8" fmla="*/ 25224 w 148508"/>
              <a:gd name="T9" fmla="*/ 286078 h 361050"/>
              <a:gd name="T10" fmla="*/ 2925 w 148508"/>
              <a:gd name="T11" fmla="*/ 172695 h 361050"/>
              <a:gd name="T12" fmla="*/ 42777 w 148508"/>
              <a:gd name="T13" fmla="*/ 0 h 361050"/>
              <a:gd name="T14" fmla="*/ 100342 w 148508"/>
              <a:gd name="T15" fmla="*/ 0 h 3610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48508" h="361050">
                <a:moveTo>
                  <a:pt x="100342" y="0"/>
                </a:moveTo>
                <a:cubicBezTo>
                  <a:pt x="117685" y="28783"/>
                  <a:pt x="143255" y="124855"/>
                  <a:pt x="146837" y="172695"/>
                </a:cubicBezTo>
                <a:cubicBezTo>
                  <a:pt x="148508" y="219724"/>
                  <a:pt x="133493" y="259658"/>
                  <a:pt x="121836" y="287042"/>
                </a:cubicBezTo>
                <a:cubicBezTo>
                  <a:pt x="110028" y="318408"/>
                  <a:pt x="92090" y="361050"/>
                  <a:pt x="75988" y="360889"/>
                </a:cubicBezTo>
                <a:cubicBezTo>
                  <a:pt x="59090" y="360889"/>
                  <a:pt x="37401" y="317444"/>
                  <a:pt x="25224" y="286078"/>
                </a:cubicBezTo>
                <a:cubicBezTo>
                  <a:pt x="13047" y="254712"/>
                  <a:pt x="0" y="220375"/>
                  <a:pt x="2925" y="172695"/>
                </a:cubicBezTo>
                <a:cubicBezTo>
                  <a:pt x="3854" y="125666"/>
                  <a:pt x="26220" y="28366"/>
                  <a:pt x="42777" y="0"/>
                </a:cubicBezTo>
                <a:lnTo>
                  <a:pt x="100342" y="0"/>
                </a:lnTo>
                <a:close/>
              </a:path>
            </a:pathLst>
          </a:cu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25400" cap="flat" algn="ctr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CCCCC"/>
                  </a:outerShdw>
                </a:effectLst>
              </a14:hiddenEffects>
            </a:ext>
          </a:extLst>
        </xdr:spPr>
        <xdr:txBody>
          <a:bodyPr vert="horz" wrap="square" lIns="36576" tIns="36576" rIns="36576" bIns="36576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</xdr:row>
          <xdr:rowOff>9525</xdr:rowOff>
        </xdr:from>
        <xdr:to>
          <xdr:col>23</xdr:col>
          <xdr:colOff>638175</xdr:colOff>
          <xdr:row>26</xdr:row>
          <xdr:rowOff>9525</xdr:rowOff>
        </xdr:to>
        <xdr:pic>
          <xdr:nvPicPr>
            <xdr:cNvPr id="43" name="図 42"/>
            <xdr:cNvPicPr>
              <a:picLocks noChangeAspect="1" noChangeArrowheads="1"/>
              <a:extLst>
                <a:ext uri="{84589F7E-364E-4C9E-8A38-B11213B215E9}">
                  <a14:cameraTool cellRange="camera!$G$16:$I$30" spid="_x0000_s124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2611100" y="752475"/>
              <a:ext cx="3228975" cy="5715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133349</xdr:colOff>
      <xdr:row>16</xdr:row>
      <xdr:rowOff>219075</xdr:rowOff>
    </xdr:from>
    <xdr:to>
      <xdr:col>18</xdr:col>
      <xdr:colOff>276224</xdr:colOff>
      <xdr:row>27</xdr:row>
      <xdr:rowOff>190501</xdr:rowOff>
    </xdr:to>
    <xdr:graphicFrame macro="">
      <xdr:nvGraphicFramePr>
        <xdr:cNvPr id="44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38100</xdr:colOff>
      <xdr:row>20</xdr:row>
      <xdr:rowOff>0</xdr:rowOff>
    </xdr:from>
    <xdr:to>
      <xdr:col>11</xdr:col>
      <xdr:colOff>171450</xdr:colOff>
      <xdr:row>21</xdr:row>
      <xdr:rowOff>95781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6038850" y="5029200"/>
          <a:ext cx="1466850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宅地面積推移</a:t>
          </a:r>
        </a:p>
      </xdr:txBody>
    </xdr:sp>
    <xdr:clientData/>
  </xdr:twoCellAnchor>
  <xdr:twoCellAnchor>
    <xdr:from>
      <xdr:col>12</xdr:col>
      <xdr:colOff>85724</xdr:colOff>
      <xdr:row>11</xdr:row>
      <xdr:rowOff>142875</xdr:rowOff>
    </xdr:from>
    <xdr:to>
      <xdr:col>16</xdr:col>
      <xdr:colOff>552449</xdr:colOff>
      <xdr:row>13</xdr:row>
      <xdr:rowOff>531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8086724" y="3028950"/>
          <a:ext cx="3133725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選択年度（　　　　　　　　　　　円）</a:t>
          </a:r>
        </a:p>
      </xdr:txBody>
    </xdr:sp>
    <xdr:clientData/>
  </xdr:twoCellAnchor>
  <xdr:twoCellAnchor>
    <xdr:from>
      <xdr:col>13</xdr:col>
      <xdr:colOff>609600</xdr:colOff>
      <xdr:row>11</xdr:row>
      <xdr:rowOff>133350</xdr:rowOff>
    </xdr:from>
    <xdr:to>
      <xdr:col>16</xdr:col>
      <xdr:colOff>142876</xdr:colOff>
      <xdr:row>12</xdr:row>
      <xdr:rowOff>229131</xdr:rowOff>
    </xdr:to>
    <xdr:sp macro="" textlink="pivot!E17">
      <xdr:nvSpPr>
        <xdr:cNvPr id="39" name="テキスト ボックス 38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9277350" y="3019425"/>
          <a:ext cx="1533526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19E6473F-6E9B-46DF-8A6B-7A5D8DE7FD04}" type="TxLink">
            <a:rPr kumimoji="1" lang="en-US" altLang="en-US" sz="1600" b="0" i="0" u="none" strike="noStrik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l"/>
            <a:t>2,792,141</a:t>
          </a:fld>
          <a:endParaRPr kumimoji="1" lang="ja-JP" altLang="en-US" sz="2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76199</xdr:colOff>
      <xdr:row>20</xdr:row>
      <xdr:rowOff>9525</xdr:rowOff>
    </xdr:from>
    <xdr:to>
      <xdr:col>15</xdr:col>
      <xdr:colOff>657224</xdr:colOff>
      <xdr:row>21</xdr:row>
      <xdr:rowOff>105306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8077199" y="5038725"/>
          <a:ext cx="2581275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選択年度（　　　　　　　千㎡）</a:t>
          </a:r>
        </a:p>
      </xdr:txBody>
    </xdr:sp>
    <xdr:clientData/>
  </xdr:twoCellAnchor>
  <xdr:twoCellAnchor>
    <xdr:from>
      <xdr:col>13</xdr:col>
      <xdr:colOff>238126</xdr:colOff>
      <xdr:row>20</xdr:row>
      <xdr:rowOff>0</xdr:rowOff>
    </xdr:from>
    <xdr:to>
      <xdr:col>15</xdr:col>
      <xdr:colOff>85725</xdr:colOff>
      <xdr:row>21</xdr:row>
      <xdr:rowOff>95781</xdr:rowOff>
    </xdr:to>
    <xdr:sp macro="" textlink="pivot!E22">
      <xdr:nvSpPr>
        <xdr:cNvPr id="41" name="テキスト ボックス 40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8905876" y="5029200"/>
          <a:ext cx="1181099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3FD0A68-9D2F-4847-B313-F7F53F9E5F0A}" type="TxLink">
            <a:rPr kumimoji="1" lang="en-US" altLang="en-US" sz="1600" b="0" i="0" u="none" strike="noStrik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r"/>
            <a:t>13,299</a:t>
          </a:fld>
          <a:endParaRPr kumimoji="1" lang="ja-JP" altLang="en-US" sz="36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428625</xdr:colOff>
      <xdr:row>0</xdr:row>
      <xdr:rowOff>95249</xdr:rowOff>
    </xdr:from>
    <xdr:to>
      <xdr:col>23</xdr:col>
      <xdr:colOff>647700</xdr:colOff>
      <xdr:row>0</xdr:row>
      <xdr:rowOff>429155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14297025" y="95249"/>
          <a:ext cx="1552575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Ｓ</a:t>
          </a:r>
          <a:r>
            <a:rPr kumimoji="1" lang="en-US" altLang="ja-JP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hiojiri</a:t>
          </a:r>
          <a:r>
            <a:rPr kumimoji="1" lang="en-US" altLang="ja-JP" sz="1600" b="1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Ｃ</a:t>
          </a:r>
          <a:r>
            <a:rPr kumimoji="1" lang="en-US" altLang="ja-JP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ity</a:t>
          </a:r>
          <a:endParaRPr kumimoji="1" lang="ja-JP" altLang="en-US" sz="16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314325</xdr:colOff>
      <xdr:row>1</xdr:row>
      <xdr:rowOff>180974</xdr:rowOff>
    </xdr:from>
    <xdr:to>
      <xdr:col>8</xdr:col>
      <xdr:colOff>533400</xdr:colOff>
      <xdr:row>2</xdr:row>
      <xdr:rowOff>238124</xdr:rowOff>
    </xdr:to>
    <xdr:sp macro="" textlink="">
      <xdr:nvSpPr>
        <xdr:cNvPr id="9" name="角丸四角形 8"/>
        <xdr:cNvSpPr/>
      </xdr:nvSpPr>
      <xdr:spPr>
        <a:xfrm>
          <a:off x="314325" y="685799"/>
          <a:ext cx="5553075" cy="29527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352425</xdr:colOff>
      <xdr:row>1</xdr:row>
      <xdr:rowOff>161925</xdr:rowOff>
    </xdr:from>
    <xdr:to>
      <xdr:col>8</xdr:col>
      <xdr:colOff>466725</xdr:colOff>
      <xdr:row>3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352425" y="666750"/>
          <a:ext cx="54483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年度を選択すると、その年度の数字やグラフが表示されます</a:t>
          </a:r>
        </a:p>
      </xdr:txBody>
    </xdr:sp>
    <xdr:clientData/>
  </xdr:twoCellAnchor>
  <xdr:twoCellAnchor editAs="absolute">
    <xdr:from>
      <xdr:col>8</xdr:col>
      <xdr:colOff>542925</xdr:colOff>
      <xdr:row>2</xdr:row>
      <xdr:rowOff>133350</xdr:rowOff>
    </xdr:from>
    <xdr:to>
      <xdr:col>9</xdr:col>
      <xdr:colOff>76200</xdr:colOff>
      <xdr:row>11</xdr:row>
      <xdr:rowOff>19050</xdr:rowOff>
    </xdr:to>
    <xdr:sp macro="" textlink="">
      <xdr:nvSpPr>
        <xdr:cNvPr id="8" name="正方形/長方形 7"/>
        <xdr:cNvSpPr/>
      </xdr:nvSpPr>
      <xdr:spPr>
        <a:xfrm>
          <a:off x="5876925" y="876300"/>
          <a:ext cx="200025" cy="2028825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10</xdr:row>
      <xdr:rowOff>152400</xdr:rowOff>
    </xdr:from>
    <xdr:to>
      <xdr:col>8</xdr:col>
      <xdr:colOff>571499</xdr:colOff>
      <xdr:row>11</xdr:row>
      <xdr:rowOff>38101</xdr:rowOff>
    </xdr:to>
    <xdr:sp macro="" textlink="">
      <xdr:nvSpPr>
        <xdr:cNvPr id="45" name="正方形/長方形 44"/>
        <xdr:cNvSpPr/>
      </xdr:nvSpPr>
      <xdr:spPr>
        <a:xfrm>
          <a:off x="171450" y="2800350"/>
          <a:ext cx="5734049" cy="123826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199426</xdr:colOff>
      <xdr:row>10</xdr:row>
      <xdr:rowOff>180975</xdr:rowOff>
    </xdr:from>
    <xdr:to>
      <xdr:col>2</xdr:col>
      <xdr:colOff>390525</xdr:colOff>
      <xdr:row>12</xdr:row>
      <xdr:rowOff>38631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AB590-F535-48A4-8BFF-4A768F73DC09}"/>
            </a:ext>
          </a:extLst>
        </xdr:cNvPr>
        <xdr:cNvSpPr txBox="1"/>
      </xdr:nvSpPr>
      <xdr:spPr>
        <a:xfrm>
          <a:off x="199426" y="2828925"/>
          <a:ext cx="1524599" cy="333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市税決算額</a:t>
          </a:r>
        </a:p>
      </xdr:txBody>
    </xdr:sp>
    <xdr:clientData/>
  </xdr:twoCellAnchor>
  <xdr:twoCellAnchor>
    <xdr:from>
      <xdr:col>0</xdr:col>
      <xdr:colOff>104773</xdr:colOff>
      <xdr:row>2</xdr:row>
      <xdr:rowOff>133350</xdr:rowOff>
    </xdr:from>
    <xdr:to>
      <xdr:col>0</xdr:col>
      <xdr:colOff>295274</xdr:colOff>
      <xdr:row>11</xdr:row>
      <xdr:rowOff>0</xdr:rowOff>
    </xdr:to>
    <xdr:sp macro="" textlink="">
      <xdr:nvSpPr>
        <xdr:cNvPr id="46" name="正方形/長方形 45"/>
        <xdr:cNvSpPr/>
      </xdr:nvSpPr>
      <xdr:spPr>
        <a:xfrm>
          <a:off x="104773" y="876300"/>
          <a:ext cx="190501" cy="2009775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280.633815856483" createdVersion="6" refreshedVersion="6" minRefreshableVersion="3" recordCount="35">
  <cacheSource type="worksheet">
    <worksheetSource name="市税概要"/>
  </cacheSource>
  <cacheFields count="35">
    <cacheField name="年度" numFmtId="38">
      <sharedItems count="35">
        <s v="1989(H1)"/>
        <s v="1990(H2)"/>
        <s v="1991(H3)"/>
        <s v="1992(H4)"/>
        <s v="1993(H5)"/>
        <s v="1994(H6)"/>
        <s v="1995(H7)"/>
        <s v="1996(H8)"/>
        <s v="1997(H9)"/>
        <s v="1998(H10)"/>
        <s v="1999(H11)"/>
        <s v="2000(H12)"/>
        <s v="2001(H13)"/>
        <s v="2002(H14)"/>
        <s v="2003(H15)"/>
        <s v="2004(H16)"/>
        <s v="2005(H17)"/>
        <s v="2006(H18)"/>
        <s v="2007(H19)"/>
        <s v="2008(H20)"/>
        <s v="2009(H21)"/>
        <s v="2010(H22)"/>
        <s v="2011(H23)"/>
        <s v="2012(H24)"/>
        <s v="2013(H25)"/>
        <s v="2014(H26)"/>
        <s v="2015(H27)"/>
        <s v="2016(H28)"/>
        <s v="2017(H29)"/>
        <s v="2018(H30)"/>
        <s v="2019(R1)"/>
        <s v="2020(R2)"/>
        <s v="2021(R3)"/>
        <s v="2022(R4)"/>
        <s v="2023(R5)"/>
      </sharedItems>
    </cacheField>
    <cacheField name="西暦" numFmtId="0">
      <sharedItems containsSemiMixedTypes="0" containsString="0" containsNumber="1" containsInteger="1" minValue="1989" maxValue="2023"/>
    </cacheField>
    <cacheField name="個人住民税" numFmtId="180">
      <sharedItems containsString="0" containsBlank="1" containsNumber="1" containsInteger="1" minValue="2172919570" maxValue="3707790806"/>
    </cacheField>
    <cacheField name="法人市民税" numFmtId="180">
      <sharedItems containsString="0" containsBlank="1" containsNumber="1" containsInteger="1" minValue="559583130" maxValue="2501464600"/>
    </cacheField>
    <cacheField name="固定資産税" numFmtId="180">
      <sharedItems containsString="0" containsBlank="1" containsNumber="1" containsInteger="1" minValue="2675828971" maxValue="4895640338"/>
    </cacheField>
    <cacheField name="たばこ税" numFmtId="180">
      <sharedItems containsString="0" containsBlank="1" containsNumber="1" containsInteger="1" minValue="275112790" maxValue="465753858"/>
    </cacheField>
    <cacheField name="都市計画税" numFmtId="180">
      <sharedItems containsString="0" containsBlank="1" containsNumber="1" containsInteger="1" minValue="347999634" maxValue="565913820"/>
    </cacheField>
    <cacheField name="特別土地保有税" numFmtId="180">
      <sharedItems containsString="0" containsBlank="1" containsNumber="1" containsInteger="1" minValue="0" maxValue="52568900"/>
    </cacheField>
    <cacheField name="軽自動車税" numFmtId="180">
      <sharedItems containsString="0" containsBlank="1" containsNumber="1" containsInteger="1" minValue="60298240" maxValue="261065438"/>
    </cacheField>
    <cacheField name="入湯税" numFmtId="180">
      <sharedItems containsString="0" containsBlank="1" containsNumber="1" containsInteger="1" minValue="55350" maxValue="8120150"/>
    </cacheField>
    <cacheField name="鉱産税" numFmtId="180">
      <sharedItems containsString="0" containsBlank="1" containsNumber="1" containsInteger="1" minValue="111400" maxValue="1345800"/>
    </cacheField>
    <cacheField name="電気税" numFmtId="180">
      <sharedItems containsString="0" containsBlank="1" containsNumber="1" containsInteger="1" minValue="0" maxValue="32637896"/>
    </cacheField>
    <cacheField name="税収" numFmtId="38">
      <sharedItems containsSemiMixedTypes="0" containsString="0" containsNumber="1" containsInteger="1" minValue="0" maxValue="10485544039"/>
    </cacheField>
    <cacheField name="前年度比" numFmtId="177">
      <sharedItems containsSemiMixedTypes="0" containsString="0" containsNumber="1" containsInteger="1" minValue="-10293069573" maxValue="1324813436"/>
    </cacheField>
    <cacheField name="収納率" numFmtId="10">
      <sharedItems containsString="0" containsBlank="1" containsNumber="1" minValue="0.92390000000000005" maxValue="0.98660000000000003"/>
    </cacheField>
    <cacheField name="納税義務者" numFmtId="38">
      <sharedItems containsSemiMixedTypes="0" containsString="0" containsNumber="1" containsInteger="1" minValue="24114" maxValue="36554"/>
    </cacheField>
    <cacheField name="総所得" numFmtId="38">
      <sharedItems containsSemiMixedTypes="0" containsString="0" containsNumber="1" containsInteger="1" minValue="61730563000" maxValue="104075149000"/>
    </cacheField>
    <cacheField name="納税義務者1人当たり所得" numFmtId="38">
      <sharedItems containsSemiMixedTypes="0" containsString="0" containsNumber="1" minValue="2441667.5329984813" maxValue="3217559.4924129494"/>
    </cacheField>
    <cacheField name="法人数" numFmtId="38">
      <sharedItems containsSemiMixedTypes="0" containsString="0" containsNumber="1" containsInteger="1" minValue="1135" maxValue="2056"/>
    </cacheField>
    <cacheField name="軽四輪車台数" numFmtId="38">
      <sharedItems containsSemiMixedTypes="0" containsString="0" containsNumber="1" containsInteger="1" minValue="9772" maxValue="25902"/>
    </cacheField>
    <cacheField name="たばこ消費本数" numFmtId="38">
      <sharedItems containsString="0" containsBlank="1" containsNumber="1" containsInteger="1" minValue="6290" maxValue="16094"/>
    </cacheField>
    <cacheField name="宅地面積" numFmtId="38">
      <sharedItems containsSemiMixedTypes="0" containsString="0" containsNumber="1" containsInteger="1" minValue="9217" maxValue="13350"/>
    </cacheField>
    <cacheField name="給与所得者の率" numFmtId="10">
      <sharedItems containsSemiMixedTypes="0" containsString="0" containsNumber="1" minValue="0.76300000000000001" maxValue="0.83"/>
    </cacheField>
    <cacheField name="世帯数" numFmtId="38">
      <sharedItems containsSemiMixedTypes="0" containsString="0" containsNumber="1" containsInteger="1" minValue="16304" maxValue="28725"/>
    </cacheField>
    <cacheField name="農耕用作業車数" numFmtId="38">
      <sharedItems containsSemiMixedTypes="0" containsString="0" containsNumber="1" containsInteger="1" minValue="2334" maxValue="2961"/>
    </cacheField>
    <cacheField name="５０CCバイク数" numFmtId="38">
      <sharedItems containsSemiMixedTypes="0" containsString="0" containsNumber="1" containsInteger="1" minValue="1809" maxValue="7854"/>
    </cacheField>
    <cacheField name="入湯客数" numFmtId="38">
      <sharedItems containsString="0" containsBlank="1" containsNumber="1" containsInteger="1" minValue="434" maxValue="61204"/>
    </cacheField>
    <cacheField name="鉱物価格" numFmtId="38">
      <sharedItems containsString="0" containsBlank="1" containsNumber="1" containsInteger="1" minValue="16015" maxValue="134580"/>
    </cacheField>
    <cacheField name="給与所得者数" numFmtId="38">
      <sharedItems containsSemiMixedTypes="0" containsString="0" containsNumber="1" containsInteger="1" minValue="19391" maxValue="28355"/>
    </cacheField>
    <cacheField name="農業所得者数" numFmtId="0">
      <sharedItems containsSemiMixedTypes="0" containsString="0" containsNumber="1" containsInteger="1" minValue="261" maxValue="677"/>
    </cacheField>
    <cacheField name="田畑面積" numFmtId="38">
      <sharedItems containsSemiMixedTypes="0" containsString="0" containsNumber="1" containsInteger="1" minValue="33155" maxValue="38698"/>
    </cacheField>
    <cacheField name="山林面積" numFmtId="38">
      <sharedItems containsSemiMixedTypes="0" containsString="0" containsNumber="1" containsInteger="1" minValue="45840" maxValue="52504"/>
    </cacheField>
    <cacheField name="木造建物数" numFmtId="38">
      <sharedItems containsSemiMixedTypes="0" containsString="0" containsNumber="1" containsInteger="1" minValue="26639" maxValue="31925"/>
    </cacheField>
    <cacheField name="非木造建物数" numFmtId="38">
      <sharedItems containsSemiMixedTypes="0" containsString="0" containsNumber="1" containsInteger="1" minValue="7167" maxValue="13147"/>
    </cacheField>
    <cacheField name="人口" numFmtId="38">
      <sharedItems containsSemiMixedTypes="0" containsString="0" containsNumber="1" containsInteger="1" minValue="56630" maxValue="6799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n v="1989"/>
    <n v="2172919570"/>
    <n v="1542712382"/>
    <n v="2675828971"/>
    <n v="275112790"/>
    <n v="347999634"/>
    <n v="7512780"/>
    <n v="60298240"/>
    <n v="7103800"/>
    <n v="872800"/>
    <n v="32637896"/>
    <n v="7122998863"/>
    <n v="545266007"/>
    <n v="0.97509999999999997"/>
    <n v="24114"/>
    <n v="61730563000"/>
    <n v="2559947.0432114126"/>
    <n v="1135"/>
    <n v="9772"/>
    <n v="14124"/>
    <n v="9217"/>
    <n v="0.80400000000000005"/>
    <n v="16304"/>
    <n v="2344"/>
    <n v="7854"/>
    <n v="53143"/>
    <n v="67945"/>
    <n v="19391"/>
    <n v="659"/>
    <n v="38698"/>
    <n v="45855"/>
    <n v="31790"/>
    <n v="7167"/>
    <n v="56630"/>
  </r>
  <r>
    <x v="1"/>
    <n v="1990"/>
    <n v="2362176621"/>
    <n v="1278081190"/>
    <n v="2893430459"/>
    <n v="286791243"/>
    <n v="367783781"/>
    <n v="11318900"/>
    <n v="62286220"/>
    <n v="7090650"/>
    <n v="1166400"/>
    <n v="0"/>
    <n v="7270125464"/>
    <n v="147126601"/>
    <n v="0.97629999999999995"/>
    <n v="24358"/>
    <n v="67001568000"/>
    <n v="2750700.7143443632"/>
    <n v="1159"/>
    <n v="10231"/>
    <n v="14688"/>
    <n v="9546"/>
    <n v="0.80900000000000005"/>
    <n v="16578"/>
    <n v="2334"/>
    <n v="7571"/>
    <n v="53307"/>
    <n v="87379"/>
    <n v="19692"/>
    <n v="665"/>
    <n v="38372"/>
    <n v="45840"/>
    <n v="31925"/>
    <n v="7488"/>
    <n v="57144"/>
  </r>
  <r>
    <x v="2"/>
    <n v="1991"/>
    <n v="2396076120"/>
    <n v="1199696726"/>
    <n v="3157179052"/>
    <n v="292457086"/>
    <n v="400845220"/>
    <n v="8302730"/>
    <n v="66266247"/>
    <n v="7692550"/>
    <n v="1345800"/>
    <n v="0"/>
    <n v="7529861531"/>
    <n v="259736067"/>
    <n v="0.97670000000000001"/>
    <n v="25397"/>
    <n v="73815041000"/>
    <n v="2906447.2575501045"/>
    <n v="1203"/>
    <n v="10865"/>
    <n v="14897"/>
    <n v="9865"/>
    <n v="0.81599999999999995"/>
    <n v="16959"/>
    <n v="2353"/>
    <n v="7338"/>
    <n v="57806"/>
    <n v="116640"/>
    <n v="20719"/>
    <n v="672"/>
    <n v="38064"/>
    <n v="45863"/>
    <n v="31900"/>
    <n v="7762"/>
    <n v="57640"/>
  </r>
  <r>
    <x v="3"/>
    <n v="1992"/>
    <n v="2830822249"/>
    <n v="981112696"/>
    <n v="3445062416"/>
    <n v="290739271"/>
    <n v="436536897"/>
    <n v="52568900"/>
    <n v="70019680"/>
    <n v="7741050"/>
    <n v="1307100"/>
    <n v="0"/>
    <n v="8115910259"/>
    <n v="586048728"/>
    <n v="0.9778"/>
    <n v="26163"/>
    <n v="84181009000"/>
    <n v="3217559.4924129494"/>
    <n v="1292"/>
    <n v="11378"/>
    <n v="14777"/>
    <n v="9982"/>
    <n v="0.82"/>
    <n v="17474"/>
    <n v="2374"/>
    <n v="7096"/>
    <n v="58621"/>
    <n v="134580"/>
    <n v="21459"/>
    <n v="664"/>
    <n v="37517"/>
    <n v="46270"/>
    <n v="31853"/>
    <n v="7962"/>
    <n v="58372"/>
  </r>
  <r>
    <x v="4"/>
    <n v="1993"/>
    <n v="2776335075"/>
    <n v="835481983"/>
    <n v="3673898834"/>
    <n v="296880847"/>
    <n v="479220985"/>
    <n v="13129100"/>
    <n v="72804500"/>
    <n v="8120150"/>
    <n v="1285900"/>
    <n v="0"/>
    <n v="8157157374"/>
    <n v="41247115"/>
    <n v="0.97629999999999995"/>
    <n v="27050"/>
    <n v="81879059000"/>
    <n v="3026952.2735674675"/>
    <n v="1325"/>
    <n v="11696"/>
    <n v="15067"/>
    <n v="10186"/>
    <n v="0.83"/>
    <n v="17932"/>
    <n v="2393"/>
    <n v="6803"/>
    <n v="61204"/>
    <n v="128696"/>
    <n v="22450"/>
    <n v="600"/>
    <n v="36860"/>
    <n v="46278"/>
    <n v="31804"/>
    <n v="8232"/>
    <n v="59019"/>
  </r>
  <r>
    <x v="5"/>
    <n v="1994"/>
    <n v="2501252609"/>
    <n v="870465517"/>
    <n v="3851455150"/>
    <n v="311827631"/>
    <n v="500385109"/>
    <n v="6432500"/>
    <n v="75485300"/>
    <n v="7889650"/>
    <n v="961500"/>
    <n v="0"/>
    <n v="8126154966"/>
    <n v="-31002408"/>
    <n v="0.97050000000000003"/>
    <n v="27282"/>
    <n v="84050174000"/>
    <n v="3080792.2439703834"/>
    <n v="1366"/>
    <n v="12120"/>
    <n v="15798"/>
    <n v="10477"/>
    <n v="0.82799999999999996"/>
    <n v="18326"/>
    <n v="2543"/>
    <n v="6541"/>
    <n v="59840"/>
    <n v="96267"/>
    <n v="22590"/>
    <n v="623"/>
    <n v="36766"/>
    <n v="46009"/>
    <n v="30578"/>
    <n v="8288"/>
    <n v="59448"/>
  </r>
  <r>
    <x v="6"/>
    <n v="1995"/>
    <n v="2502110664"/>
    <n v="1056888545"/>
    <n v="4120022972"/>
    <n v="318276713"/>
    <n v="535892957"/>
    <n v="26066100"/>
    <n v="78921600"/>
    <n v="7412800"/>
    <n v="747700"/>
    <n v="0"/>
    <n v="8646340051"/>
    <n v="520185085"/>
    <n v="0.96860000000000002"/>
    <n v="28144"/>
    <n v="87156403000"/>
    <n v="3096802.2669130187"/>
    <n v="1411"/>
    <n v="12633"/>
    <n v="16094"/>
    <n v="10649"/>
    <n v="0.82599999999999996"/>
    <n v="18516"/>
    <n v="2555"/>
    <n v="6338"/>
    <n v="56138"/>
    <n v="76823"/>
    <n v="23239"/>
    <n v="677"/>
    <n v="36530"/>
    <n v="46002"/>
    <n v="27944"/>
    <n v="8294"/>
    <n v="59621"/>
  </r>
  <r>
    <x v="7"/>
    <n v="1996"/>
    <n v="2475510635"/>
    <n v="1015807696"/>
    <n v="4312664530"/>
    <n v="317356186"/>
    <n v="565913820"/>
    <n v="10947200"/>
    <n v="82853400"/>
    <n v="6710650"/>
    <n v="1005400"/>
    <n v="0"/>
    <n v="8788769517"/>
    <n v="142429466"/>
    <n v="0.96399999999999997"/>
    <n v="28672"/>
    <n v="88118610000"/>
    <n v="3073333.2170758927"/>
    <n v="1431"/>
    <n v="13140"/>
    <n v="16031"/>
    <n v="10836"/>
    <n v="0.82299999999999995"/>
    <n v="18909"/>
    <n v="2560"/>
    <n v="6091"/>
    <n v="50851"/>
    <n v="101766"/>
    <n v="23607"/>
    <n v="584"/>
    <n v="36218"/>
    <n v="46076"/>
    <n v="27839"/>
    <n v="8479"/>
    <n v="60116"/>
  </r>
  <r>
    <x v="8"/>
    <n v="1997"/>
    <n v="2802191296"/>
    <n v="1054727225"/>
    <n v="4309602095"/>
    <n v="329000164"/>
    <n v="560116923"/>
    <n v="11047900"/>
    <n v="87007200"/>
    <n v="6270800"/>
    <n v="767000"/>
    <n v="0"/>
    <n v="9160730603"/>
    <n v="371961086"/>
    <n v="0.95779999999999998"/>
    <n v="28988"/>
    <n v="90853176000"/>
    <n v="3134165.0338070928"/>
    <n v="1497"/>
    <n v="13579"/>
    <n v="13904"/>
    <n v="10943"/>
    <n v="0.82499999999999996"/>
    <n v="19171"/>
    <n v="2961"/>
    <n v="5812"/>
    <n v="47075"/>
    <n v="79593"/>
    <n v="23911"/>
    <n v="454"/>
    <n v="35959"/>
    <n v="46018"/>
    <n v="27427"/>
    <n v="8657"/>
    <n v="60309"/>
  </r>
  <r>
    <x v="9"/>
    <n v="1998"/>
    <n v="2585915780"/>
    <n v="2501464600"/>
    <n v="4478645791"/>
    <n v="328583769"/>
    <n v="486094259"/>
    <n v="8225890"/>
    <n v="89891700"/>
    <n v="5856150"/>
    <n v="866100"/>
    <n v="0"/>
    <n v="10485544039"/>
    <n v="1324813436"/>
    <n v="0.95589999999999997"/>
    <n v="29783"/>
    <n v="94231764000"/>
    <n v="3163944.6664204411"/>
    <n v="1509"/>
    <n v="13987"/>
    <n v="13612"/>
    <n v="11031"/>
    <n v="0.82299999999999995"/>
    <n v="19597"/>
    <n v="2928"/>
    <n v="5568"/>
    <n v="44034"/>
    <n v="89333"/>
    <n v="24523"/>
    <n v="589"/>
    <n v="35630"/>
    <n v="46012"/>
    <n v="26934"/>
    <n v="8832"/>
    <n v="60761"/>
  </r>
  <r>
    <x v="10"/>
    <n v="1999"/>
    <n v="2720372751"/>
    <n v="1350267200"/>
    <n v="4596395206"/>
    <n v="352961154"/>
    <n v="500689279"/>
    <n v="5278800"/>
    <n v="94068900"/>
    <n v="5772350"/>
    <n v="968300"/>
    <n v="0"/>
    <n v="9626773940"/>
    <n v="-858770099"/>
    <n v="0.94599999999999995"/>
    <n v="30103"/>
    <n v="93247321000"/>
    <n v="3097608.909411022"/>
    <n v="1550"/>
    <n v="14600"/>
    <n v="13539"/>
    <n v="11246"/>
    <n v="0.82299999999999995"/>
    <n v="20087"/>
    <n v="2911"/>
    <n v="5362"/>
    <n v="43947"/>
    <n v="97514"/>
    <n v="24784"/>
    <n v="598"/>
    <n v="35298"/>
    <n v="45968"/>
    <n v="26747"/>
    <n v="9029"/>
    <n v="61429"/>
  </r>
  <r>
    <x v="11"/>
    <n v="2000"/>
    <n v="2555671953"/>
    <n v="1693263300"/>
    <n v="4446870846"/>
    <n v="355016052"/>
    <n v="391045526"/>
    <n v="7258100"/>
    <n v="101768600"/>
    <n v="5915800"/>
    <n v="795600"/>
    <n v="0"/>
    <n v="9557605777"/>
    <n v="-69168163"/>
    <n v="0.93910000000000005"/>
    <n v="30016"/>
    <n v="92020618000"/>
    <n v="3065718.8832622604"/>
    <n v="1584"/>
    <n v="15643"/>
    <n v="13407"/>
    <n v="11352"/>
    <n v="0.82699999999999996"/>
    <n v="20563"/>
    <n v="2913"/>
    <n v="5132"/>
    <n v="44702"/>
    <n v="80520"/>
    <n v="24838"/>
    <n v="396"/>
    <n v="35149"/>
    <n v="45948"/>
    <n v="26816"/>
    <n v="9240"/>
    <n v="61986"/>
  </r>
  <r>
    <x v="12"/>
    <n v="2001"/>
    <n v="2639119861"/>
    <n v="1500995523"/>
    <n v="4586976918"/>
    <n v="355481655"/>
    <n v="402281044"/>
    <n v="7840100"/>
    <n v="103461900"/>
    <n v="5563500"/>
    <n v="650100"/>
    <n v="0"/>
    <n v="9602370601"/>
    <n v="44764824"/>
    <n v="0.93769999999999998"/>
    <n v="30417"/>
    <n v="94176845000"/>
    <n v="3096191.1102344082"/>
    <n v="1604"/>
    <n v="15889"/>
    <n v="13468"/>
    <n v="11465"/>
    <n v="0.82699999999999996"/>
    <n v="21031"/>
    <n v="2905"/>
    <n v="4978"/>
    <n v="41862"/>
    <n v="66790"/>
    <n v="25145"/>
    <n v="417"/>
    <n v="34957"/>
    <n v="45938"/>
    <n v="26798"/>
    <n v="9369"/>
    <n v="62520"/>
  </r>
  <r>
    <x v="13"/>
    <n v="2002"/>
    <n v="2499249739"/>
    <n v="814424212"/>
    <n v="4690286707"/>
    <n v="351393588"/>
    <n v="406980473"/>
    <n v="5168400"/>
    <n v="107532130"/>
    <n v="5137200"/>
    <n v="508700"/>
    <n v="0"/>
    <n v="8880681149"/>
    <n v="-721689452"/>
    <n v="0.92720000000000002"/>
    <n v="30277"/>
    <n v="91922814000"/>
    <n v="3036060.8382600653"/>
    <n v="1573"/>
    <n v="16468"/>
    <n v="13314"/>
    <n v="11641"/>
    <n v="0.82599999999999996"/>
    <n v="21381"/>
    <n v="2897"/>
    <n v="4770"/>
    <n v="38487"/>
    <n v="55553"/>
    <n v="25008"/>
    <n v="346"/>
    <n v="34767"/>
    <n v="45984"/>
    <n v="26790"/>
    <n v="9548"/>
    <n v="63002"/>
  </r>
  <r>
    <x v="14"/>
    <n v="2003"/>
    <n v="2336721417"/>
    <n v="767965700"/>
    <n v="4544006372"/>
    <n v="366252504"/>
    <n v="391128876"/>
    <n v="0"/>
    <n v="112024370"/>
    <n v="5055600"/>
    <n v="258600"/>
    <n v="0"/>
    <n v="8523413439"/>
    <n v="-357267710"/>
    <n v="0.92390000000000005"/>
    <n v="29926"/>
    <n v="87480930000"/>
    <n v="2923241.6627681614"/>
    <n v="1586"/>
    <n v="17130"/>
    <n v="12895"/>
    <n v="11806"/>
    <n v="0.82099999999999995"/>
    <n v="21661"/>
    <n v="2918"/>
    <n v="4571"/>
    <n v="38641"/>
    <n v="31821"/>
    <n v="24556"/>
    <n v="441"/>
    <n v="34109"/>
    <n v="46081"/>
    <n v="26747"/>
    <n v="9642"/>
    <n v="63185"/>
  </r>
  <r>
    <x v="15"/>
    <n v="2004"/>
    <n v="2255021760"/>
    <n v="899795200"/>
    <n v="4581841864"/>
    <n v="367470011"/>
    <n v="394106325"/>
    <n v="0"/>
    <n v="116663890"/>
    <n v="4931000"/>
    <n v="321400"/>
    <n v="0"/>
    <n v="8620151450"/>
    <n v="96738011"/>
    <n v="0.92520000000000002"/>
    <n v="29941"/>
    <n v="86359771000"/>
    <n v="2884331.5520523698"/>
    <n v="1587"/>
    <n v="17758"/>
    <n v="12443"/>
    <n v="11872"/>
    <n v="0.82099999999999995"/>
    <n v="22001"/>
    <n v="2911"/>
    <n v="4370"/>
    <n v="37527"/>
    <n v="37603"/>
    <n v="24579"/>
    <n v="377"/>
    <n v="34002"/>
    <n v="46093"/>
    <n v="26723"/>
    <n v="9733"/>
    <n v="63485"/>
  </r>
  <r>
    <x v="16"/>
    <n v="2005"/>
    <n v="2488400864"/>
    <n v="928138300"/>
    <n v="4806109378"/>
    <n v="373062948"/>
    <n v="393616147"/>
    <n v="0"/>
    <n v="126864700"/>
    <n v="4566400"/>
    <n v="433700"/>
    <n v="0"/>
    <n v="9121192437"/>
    <n v="501040987"/>
    <n v="0.92689999999999995"/>
    <n v="32196"/>
    <n v="91622651000"/>
    <n v="2845777.4568269351"/>
    <n v="1680"/>
    <n v="19262"/>
    <n v="12629"/>
    <n v="11908"/>
    <n v="0.82399999999999995"/>
    <n v="23419"/>
    <n v="2896"/>
    <n v="4363"/>
    <n v="34493"/>
    <n v="47142"/>
    <n v="26522"/>
    <n v="382"/>
    <n v="33908"/>
    <n v="46076"/>
    <n v="26639"/>
    <n v="9833"/>
    <n v="66886"/>
  </r>
  <r>
    <x v="17"/>
    <n v="2006"/>
    <n v="2652813134"/>
    <n v="1066847559"/>
    <n v="4531348173"/>
    <n v="390266511"/>
    <n v="367258475"/>
    <n v="0"/>
    <n v="131026200"/>
    <n v="4320300"/>
    <n v="422400"/>
    <n v="0"/>
    <n v="9144302752"/>
    <n v="23110315"/>
    <n v="0.92749999999999999"/>
    <n v="34575"/>
    <n v="93656912000"/>
    <n v="2708804.3962400579"/>
    <n v="1682"/>
    <n v="19883"/>
    <n v="12323"/>
    <n v="12545"/>
    <n v="0.77900000000000003"/>
    <n v="23719"/>
    <n v="2890"/>
    <n v="4209"/>
    <n v="33084"/>
    <n v="45482"/>
    <n v="26918"/>
    <n v="369"/>
    <n v="35330"/>
    <n v="52504"/>
    <n v="28316"/>
    <n v="10403"/>
    <n v="66829"/>
  </r>
  <r>
    <x v="18"/>
    <n v="2007"/>
    <n v="3388520664"/>
    <n v="987034425"/>
    <n v="4739421110"/>
    <n v="393174591"/>
    <n v="386333139"/>
    <n v="0"/>
    <n v="137482500"/>
    <n v="4619600"/>
    <n v="349100"/>
    <n v="0"/>
    <n v="10036935129"/>
    <n v="892632377"/>
    <n v="0.94010000000000005"/>
    <n v="35037"/>
    <n v="93909561000"/>
    <n v="2680296.857607672"/>
    <n v="1680"/>
    <n v="20793"/>
    <n v="12024"/>
    <n v="12673"/>
    <n v="0.77800000000000002"/>
    <n v="23968"/>
    <n v="2853"/>
    <n v="4059"/>
    <n v="35696"/>
    <n v="38875"/>
    <n v="27270"/>
    <n v="445"/>
    <n v="35199"/>
    <n v="52503"/>
    <n v="28232"/>
    <n v="10576"/>
    <n v="66811"/>
  </r>
  <r>
    <x v="19"/>
    <n v="2008"/>
    <n v="3531632448"/>
    <n v="846074657"/>
    <n v="4778530989"/>
    <n v="361016253"/>
    <n v="389868182"/>
    <n v="0"/>
    <n v="141292615"/>
    <n v="3696600"/>
    <n v="347500"/>
    <n v="0"/>
    <n v="10052459244"/>
    <n v="15524115"/>
    <n v="0.94120000000000004"/>
    <n v="35176"/>
    <n v="93727229000"/>
    <n v="2664522.0889242664"/>
    <n v="1708"/>
    <n v="21379"/>
    <n v="11037"/>
    <n v="12735"/>
    <n v="0.77900000000000003"/>
    <n v="24325"/>
    <n v="2839"/>
    <n v="3917"/>
    <n v="28600"/>
    <n v="38162"/>
    <n v="27413"/>
    <n v="459"/>
    <n v="35127"/>
    <n v="52468"/>
    <n v="28275"/>
    <n v="10594"/>
    <n v="66946"/>
  </r>
  <r>
    <x v="20"/>
    <n v="2009"/>
    <n v="3473481331"/>
    <n v="559583130"/>
    <n v="4692198117"/>
    <n v="341553168"/>
    <n v="380535290"/>
    <n v="0"/>
    <n v="143939434"/>
    <n v="3474550"/>
    <n v="234400"/>
    <n v="0"/>
    <n v="9594999420"/>
    <n v="-457459824"/>
    <n v="0.93810000000000004"/>
    <n v="34905"/>
    <n v="92085842000"/>
    <n v="2638184.8445781409"/>
    <n v="1697"/>
    <n v="21514"/>
    <n v="10442"/>
    <n v="12788"/>
    <n v="0.78300000000000003"/>
    <n v="24564"/>
    <n v="2798"/>
    <n v="3776"/>
    <n v="27082"/>
    <n v="26827"/>
    <n v="27316"/>
    <n v="370"/>
    <n v="35073"/>
    <n v="52451"/>
    <n v="28215"/>
    <n v="10634"/>
    <n v="66983"/>
  </r>
  <r>
    <x v="21"/>
    <n v="2010"/>
    <n v="3095719952"/>
    <n v="762030952"/>
    <n v="4614537869"/>
    <n v="355380810"/>
    <n v="380359113"/>
    <n v="0"/>
    <n v="149177139"/>
    <n v="3350800"/>
    <n v="215900"/>
    <n v="0"/>
    <n v="9360772535"/>
    <n v="-234226885"/>
    <n v="0.94059999999999999"/>
    <n v="33765"/>
    <n v="82920836000"/>
    <n v="2455822.1827336"/>
    <n v="1697"/>
    <n v="22151"/>
    <n v="10203"/>
    <n v="12833"/>
    <n v="0.77600000000000002"/>
    <n v="24848"/>
    <n v="2756"/>
    <n v="3594"/>
    <n v="26163"/>
    <n v="25958"/>
    <n v="26211"/>
    <n v="269"/>
    <n v="34550"/>
    <n v="50463"/>
    <n v="28187"/>
    <n v="10680"/>
    <n v="67140"/>
  </r>
  <r>
    <x v="22"/>
    <n v="2011"/>
    <n v="3142018194"/>
    <n v="941598136"/>
    <n v="4540372567"/>
    <n v="414777509"/>
    <n v="376908311"/>
    <n v="0"/>
    <n v="150480993"/>
    <n v="3241900"/>
    <n v="240500"/>
    <n v="0"/>
    <n v="9569638110"/>
    <n v="208865575"/>
    <n v="0.94599999999999995"/>
    <n v="33945"/>
    <n v="85674929000"/>
    <n v="2523933.6868463689"/>
    <n v="1664"/>
    <n v="22208"/>
    <n v="9143"/>
    <n v="12910"/>
    <n v="0.77300000000000002"/>
    <n v="25054"/>
    <n v="2738"/>
    <n v="3376"/>
    <n v="25270"/>
    <n v="28002"/>
    <n v="26239"/>
    <n v="361"/>
    <n v="34450"/>
    <n v="50292"/>
    <n v="28177"/>
    <n v="10878"/>
    <n v="67061"/>
  </r>
  <r>
    <x v="23"/>
    <n v="2012"/>
    <n v="3318354533"/>
    <n v="685719897"/>
    <n v="4311935670"/>
    <n v="406178222"/>
    <n v="357928872"/>
    <n v="0"/>
    <n v="152462306"/>
    <n v="3366650"/>
    <n v="179300"/>
    <n v="0"/>
    <n v="9236125450"/>
    <n v="-333512660"/>
    <n v="0.94979999999999998"/>
    <n v="34097"/>
    <n v="86543642000"/>
    <n v="2538160.0140774846"/>
    <n v="1761"/>
    <n v="22640"/>
    <n v="8972"/>
    <n v="12998"/>
    <n v="0.77200000000000002"/>
    <n v="25286"/>
    <n v="2731"/>
    <n v="3217"/>
    <n v="26037"/>
    <n v="22681"/>
    <n v="26313"/>
    <n v="336"/>
    <n v="34355"/>
    <n v="49944"/>
    <n v="28215"/>
    <n v="11115"/>
    <n v="67023"/>
  </r>
  <r>
    <x v="24"/>
    <n v="2013"/>
    <n v="3251394936"/>
    <n v="778175426"/>
    <n v="4340245771"/>
    <n v="465753858"/>
    <n v="361212509"/>
    <n v="0"/>
    <n v="155517291"/>
    <n v="3294100"/>
    <n v="172900"/>
    <n v="0"/>
    <n v="9355766791"/>
    <n v="119641341"/>
    <n v="0.95350000000000001"/>
    <n v="34244"/>
    <n v="83612463000"/>
    <n v="2441667.5329984813"/>
    <n v="1841"/>
    <n v="23079"/>
    <n v="9126"/>
    <n v="13033"/>
    <n v="0.76800000000000002"/>
    <n v="26046"/>
    <n v="2759"/>
    <n v="3119"/>
    <n v="25197"/>
    <n v="22087"/>
    <n v="26298"/>
    <n v="325"/>
    <n v="34259"/>
    <n v="49934"/>
    <n v="28349"/>
    <n v="11753"/>
    <n v="67995"/>
  </r>
  <r>
    <x v="25"/>
    <n v="2014"/>
    <n v="3284382057"/>
    <n v="1676842646"/>
    <n v="4347345629"/>
    <n v="454516701"/>
    <n v="365894023"/>
    <n v="0"/>
    <n v="160520126"/>
    <n v="2972250"/>
    <n v="263600"/>
    <n v="0"/>
    <n v="10292737032"/>
    <n v="936970241"/>
    <n v="0.96189999999999998"/>
    <n v="34226"/>
    <n v="84858685000"/>
    <n v="2479363.2034126101"/>
    <n v="2056"/>
    <n v="23747"/>
    <n v="8896"/>
    <n v="13065"/>
    <n v="0.76300000000000001"/>
    <n v="26295"/>
    <n v="2751"/>
    <n v="2993"/>
    <n v="22687"/>
    <n v="29385"/>
    <n v="26107"/>
    <n v="341"/>
    <n v="34190"/>
    <n v="49599"/>
    <n v="28342"/>
    <n v="11856"/>
    <n v="67737"/>
  </r>
  <r>
    <x v="26"/>
    <n v="2015"/>
    <n v="3409421034"/>
    <n v="1026525416"/>
    <n v="4262688894"/>
    <n v="450923991"/>
    <n v="359507892"/>
    <n v="18969900"/>
    <n v="165780498"/>
    <n v="2730350"/>
    <n v="220500"/>
    <n v="0"/>
    <n v="9696768475"/>
    <n v="-595968557"/>
    <n v="0.96509999999999996"/>
    <n v="34189"/>
    <n v="88378614000"/>
    <n v="2585001.4332095119"/>
    <n v="1972"/>
    <n v="24365"/>
    <n v="8802"/>
    <n v="13018"/>
    <n v="0.76800000000000002"/>
    <n v="26467"/>
    <n v="2746"/>
    <n v="2870"/>
    <n v="21137"/>
    <n v="27464"/>
    <n v="26249"/>
    <n v="364"/>
    <n v="34129"/>
    <n v="49472"/>
    <n v="28317"/>
    <n v="11960"/>
    <n v="67490"/>
  </r>
  <r>
    <x v="27"/>
    <n v="2016"/>
    <n v="3510604308"/>
    <n v="940834443"/>
    <n v="4410558872"/>
    <n v="434180959"/>
    <n v="363687050"/>
    <n v="0"/>
    <n v="195756312"/>
    <n v="2047350"/>
    <n v="258200"/>
    <n v="0"/>
    <n v="9857927494"/>
    <n v="161159019"/>
    <n v="0.96730000000000005"/>
    <n v="34657"/>
    <n v="91069764000"/>
    <n v="2627745.1597079956"/>
    <n v="1909"/>
    <n v="24546"/>
    <n v="8445"/>
    <n v="13058"/>
    <n v="0.76500000000000001"/>
    <n v="26740"/>
    <n v="2730"/>
    <n v="2688"/>
    <n v="15879"/>
    <n v="29933"/>
    <n v="26524"/>
    <n v="406"/>
    <n v="33982"/>
    <n v="49469"/>
    <n v="28328"/>
    <n v="12244"/>
    <n v="67447"/>
  </r>
  <r>
    <x v="28"/>
    <n v="2017"/>
    <n v="3565134576"/>
    <n v="675526031"/>
    <n v="4472048346"/>
    <n v="415175640"/>
    <n v="369044785"/>
    <n v="0"/>
    <n v="205467539"/>
    <n v="2052600"/>
    <n v="248300"/>
    <n v="0"/>
    <n v="9704697817"/>
    <n v="-153229677"/>
    <n v="0.96930000000000005"/>
    <n v="35090"/>
    <n v="92753093000"/>
    <n v="2643291.3365631234"/>
    <n v="1858"/>
    <n v="24780"/>
    <n v="7993"/>
    <n v="13116"/>
    <n v="0.76700000000000002"/>
    <n v="27120"/>
    <n v="2749"/>
    <n v="2520"/>
    <n v="16057"/>
    <n v="30760"/>
    <n v="26920"/>
    <n v="407"/>
    <n v="33833"/>
    <n v="49399"/>
    <n v="28383"/>
    <n v="12616"/>
    <n v="67476"/>
  </r>
  <r>
    <x v="29"/>
    <n v="2018"/>
    <n v="3552505004"/>
    <n v="711535251"/>
    <n v="4459581926"/>
    <n v="392064515"/>
    <n v="368190044"/>
    <n v="0"/>
    <n v="213850376"/>
    <n v="576250"/>
    <n v="242000"/>
    <n v="0"/>
    <n v="9698545366"/>
    <n v="-6152451"/>
    <n v="0.97099999999999997"/>
    <n v="35462"/>
    <n v="93317745000"/>
    <n v="2631485.6748068356"/>
    <n v="1884"/>
    <n v="25073"/>
    <n v="7261"/>
    <n v="13150"/>
    <n v="0.76900000000000002"/>
    <n v="27400"/>
    <n v="2751"/>
    <n v="2358"/>
    <n v="4391"/>
    <n v="30527"/>
    <n v="27257"/>
    <n v="340"/>
    <n v="33591"/>
    <n v="50721"/>
    <n v="28335"/>
    <n v="12758"/>
    <n v="67449"/>
  </r>
  <r>
    <x v="30"/>
    <n v="2019"/>
    <n v="3707790806"/>
    <n v="638467737"/>
    <n v="4754363619"/>
    <n v="394606969"/>
    <n v="386356525"/>
    <n v="0"/>
    <n v="224367360"/>
    <n v="736200"/>
    <n v="184400"/>
    <n v="0"/>
    <n v="10106873616"/>
    <n v="408328250"/>
    <n v="0.97899999999999998"/>
    <n v="35953"/>
    <n v="95618249000"/>
    <n v="2659534.6424498651"/>
    <n v="1902"/>
    <n v="25380"/>
    <n v="6964"/>
    <n v="13191"/>
    <n v="0.77"/>
    <n v="27738"/>
    <n v="2764"/>
    <n v="2253"/>
    <n v="5205"/>
    <n v="25299"/>
    <n v="27681"/>
    <n v="348"/>
    <n v="33446"/>
    <n v="50261"/>
    <n v="28314"/>
    <n v="12841"/>
    <n v="67139"/>
  </r>
  <r>
    <x v="31"/>
    <n v="2020"/>
    <n v="3696341429"/>
    <n v="566408698"/>
    <n v="4895640338"/>
    <n v="372639064"/>
    <n v="391839016"/>
    <n v="0"/>
    <n v="238089599"/>
    <n v="63450"/>
    <n v="162300"/>
    <n v="0"/>
    <n v="10161183894"/>
    <n v="54310278"/>
    <n v="0.98109999999999997"/>
    <n v="36253"/>
    <n v="96451201000"/>
    <n v="2660502.6066808263"/>
    <n v="1924"/>
    <n v="25365"/>
    <n v="6343"/>
    <n v="13218"/>
    <n v="0.77500000000000002"/>
    <n v="28000"/>
    <n v="2774"/>
    <n v="2134"/>
    <n v="505"/>
    <n v="19327"/>
    <n v="28085"/>
    <n v="322"/>
    <n v="33412"/>
    <n v="50209"/>
    <n v="28329"/>
    <n v="13064"/>
    <n v="66855"/>
  </r>
  <r>
    <x v="32"/>
    <n v="2021"/>
    <n v="3564338103"/>
    <n v="607647567"/>
    <n v="4739336174"/>
    <n v="397020892"/>
    <n v="382959965"/>
    <n v="0"/>
    <n v="246429908"/>
    <n v="55350"/>
    <n v="145500"/>
    <n v="0"/>
    <n v="9937933459"/>
    <n v="-223250435"/>
    <n v="0.98529999999999995"/>
    <n v="36060"/>
    <n v="97674500000"/>
    <n v="2708666.1120354966"/>
    <n v="1966"/>
    <n v="25601"/>
    <n v="6290"/>
    <n v="13259"/>
    <n v="0.77200000000000002"/>
    <n v="28099"/>
    <n v="2767"/>
    <n v="2008"/>
    <n v="434"/>
    <n v="18149"/>
    <n v="27825"/>
    <n v="261"/>
    <n v="33281"/>
    <n v="50183"/>
    <n v="28274"/>
    <n v="13082"/>
    <n v="66443"/>
  </r>
  <r>
    <x v="33"/>
    <n v="2022"/>
    <n v="3682863746"/>
    <n v="619451767"/>
    <n v="4882116820"/>
    <n v="427790055"/>
    <n v="419589547"/>
    <n v="0"/>
    <n v="261065438"/>
    <n v="80800"/>
    <n v="111400"/>
    <n v="0"/>
    <n v="10293069573"/>
    <n v="355136114"/>
    <n v="0.98660000000000003"/>
    <n v="36225"/>
    <n v="101145319000"/>
    <n v="2792141.3112491374"/>
    <n v="2008"/>
    <n v="25694"/>
    <n v="6529"/>
    <n v="13299"/>
    <n v="0.77400000000000002"/>
    <n v="28405"/>
    <n v="2758"/>
    <n v="1902"/>
    <n v="593"/>
    <n v="16015"/>
    <n v="28024"/>
    <n v="274"/>
    <n v="33222"/>
    <n v="50055"/>
    <n v="28262"/>
    <n v="13137"/>
    <n v="66127"/>
  </r>
  <r>
    <x v="34"/>
    <n v="2023"/>
    <m/>
    <m/>
    <m/>
    <m/>
    <m/>
    <m/>
    <m/>
    <m/>
    <m/>
    <m/>
    <n v="0"/>
    <n v="-10293069573"/>
    <m/>
    <n v="36554"/>
    <n v="104075149000"/>
    <n v="2847161.7059692508"/>
    <n v="2035"/>
    <n v="25902"/>
    <m/>
    <n v="13350"/>
    <n v="0.77600000000000002"/>
    <n v="28725"/>
    <n v="2767"/>
    <n v="1809"/>
    <m/>
    <m/>
    <n v="28355"/>
    <n v="276"/>
    <n v="33155"/>
    <n v="47009"/>
    <n v="28231"/>
    <n v="13147"/>
    <n v="658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2" cacheId="0" dataOnRows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1:B35" firstHeaderRow="1" firstDataRow="1" firstDataCol="1"/>
  <pivotFields count="35">
    <pivotField showAll="0">
      <items count="36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x="33"/>
        <item h="1" x="34"/>
        <item t="default"/>
      </items>
    </pivotField>
    <pivotField dataField="1" showAll="0" defaultSubtota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176" showAll="0"/>
    <pivotField dataField="1" numFmtId="38" showAll="0"/>
    <pivotField dataField="1" showAll="0" defaultSubtotal="0"/>
    <pivotField dataField="1" numFmtId="10" showAll="0"/>
    <pivotField dataField="1" numFmtId="38" showAll="0"/>
    <pivotField dataField="1" numFmtId="38" showAll="0"/>
    <pivotField dataField="1" numFmtId="38" showAll="0"/>
    <pivotField dataField="1" numFmtId="38" showAll="0"/>
    <pivotField dataField="1" numFmtId="38" showAll="0"/>
    <pivotField dataField="1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  <pivotField dataField="1" numFmtId="38" showAll="0" defaultSubtotal="0"/>
  </pivotFields>
  <rowFields count="1">
    <field x="-2"/>
  </rowFields>
  <rowItems count="3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</rowItems>
  <colItems count="1">
    <i/>
  </colItems>
  <dataFields count="34">
    <dataField name="合計 / 個人住民税" fld="2" baseField="0" baseItem="0"/>
    <dataField name="合計 / 法人市民税" fld="3" baseField="0" baseItem="0"/>
    <dataField name="合計 / 固定資産税" fld="4" baseField="0" baseItem="0"/>
    <dataField name="合計 / たばこ税" fld="5" baseField="0" baseItem="0"/>
    <dataField name="合計 / 都市計画税" fld="6" baseField="0" baseItem="0"/>
    <dataField name="合計 / 特別土地保有税" fld="7" baseField="0" baseItem="0"/>
    <dataField name="合計 / 軽自動車税" fld="8" baseField="0" baseItem="0"/>
    <dataField name="合計 / 入湯税" fld="9" baseField="0" baseItem="0"/>
    <dataField name="合計 / 鉱産税" fld="10" baseField="0" baseItem="0"/>
    <dataField name="合計 / 電気税" fld="11" baseField="0" baseItem="0"/>
    <dataField name="合計 / 税収" fld="12" baseField="0" baseItem="0"/>
    <dataField name="合計 / 前年度比" fld="13" baseField="0" baseItem="724588304"/>
    <dataField name="合計 / 収納率" fld="14" baseField="0" baseItem="0"/>
    <dataField name="合計 / 納税義務者" fld="15" baseField="0" baseItem="0"/>
    <dataField name="合計 / 総所得" fld="16" baseField="0" baseItem="0"/>
    <dataField name="合計 / 納税義務者1人当たり所得" fld="17" baseField="0" baseItem="0"/>
    <dataField name="合計 / 法人数" fld="18" baseField="0" baseItem="0"/>
    <dataField name="合計 / 軽四輪車台数" fld="19" baseField="0" baseItem="0"/>
    <dataField name="合計 / たばこ消費本数" fld="20" baseField="0" baseItem="530640104"/>
    <dataField name="合計 / 給与所得者の率" fld="22" baseField="0" baseItem="0"/>
    <dataField name="合計 / 宅地面積" fld="21" baseField="0" baseItem="0"/>
    <dataField name="合計 / 西暦" fld="1" baseField="0" baseItem="0"/>
    <dataField name="合計 / 世帯数" fld="23" baseField="0" baseItem="0"/>
    <dataField name="合計 / 農耕用作業車数" fld="24" baseField="0" baseItem="0"/>
    <dataField name="合計 / ５０CCバイク数" fld="25" baseField="0" baseItem="0"/>
    <dataField name="合計 / 入湯客数" fld="26" baseField="0" baseItem="0"/>
    <dataField name="合計 / 鉱物価格" fld="27" baseField="0" baseItem="0"/>
    <dataField name="合計 / 給与所得者数" fld="28" baseField="0" baseItem="0"/>
    <dataField name="合計 / 農業所得者数" fld="29" baseField="0" baseItem="0"/>
    <dataField name="合計 / 田畑面積" fld="30" baseField="0" baseItem="0"/>
    <dataField name="合計 / 山林面積" fld="31" baseField="0" baseItem="0"/>
    <dataField name="合計 / 木造建物数" fld="32" baseField="0" baseItem="0"/>
    <dataField name="合計 / 非木造建物数" fld="33" baseField="0" baseItem="0"/>
    <dataField name="合計 / 人口" fld="3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年度" sourceName="年度">
  <pivotTables>
    <pivotTable tabId="3" name="ピボットテーブル2"/>
  </pivotTables>
  <data>
    <tabular pivotCacheId="1" sortOrder="descending">
      <items count="35">
        <i x="34"/>
        <i x="33" s="1"/>
        <i x="32"/>
        <i x="31"/>
        <i x="30"/>
        <i x="29"/>
        <i x="28"/>
        <i x="27"/>
        <i x="26"/>
        <i x="25"/>
        <i x="24"/>
        <i x="23"/>
        <i x="22"/>
        <i x="21"/>
        <i x="20"/>
        <i x="19"/>
        <i x="18"/>
        <i x="17"/>
        <i x="16"/>
        <i x="15"/>
        <i x="14"/>
        <i x="13"/>
        <i x="12"/>
        <i x="11"/>
        <i x="10"/>
        <i x="9"/>
        <i x="8"/>
        <i x="7"/>
        <i x="6"/>
        <i x="5"/>
        <i x="4"/>
        <i x="3"/>
        <i x="2"/>
        <i x="1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年度" cache="スライサー_年度" caption="年度" columnCount="5" showCaption="0" style="スライサー スタイル 1" rowHeight="216000"/>
</slicers>
</file>

<file path=xl/tables/table1.xml><?xml version="1.0" encoding="utf-8"?>
<table xmlns="http://schemas.openxmlformats.org/spreadsheetml/2006/main" id="1" name="市税概要" displayName="市税概要" ref="A1:AI36" totalsRowShown="0" headerRowDxfId="36" dataDxfId="35" headerRowCellStyle="桁区切り" dataCellStyle="桁区切り">
  <autoFilter ref="A1:AI36"/>
  <tableColumns count="35">
    <tableColumn id="1" name="年度" dataDxfId="34" dataCellStyle="桁区切り"/>
    <tableColumn id="30" name="西暦" dataDxfId="33" dataCellStyle="桁区切り"/>
    <tableColumn id="2" name="個人住民税" dataDxfId="32" dataCellStyle="桁区切り"/>
    <tableColumn id="3" name="法人市民税" dataDxfId="31" dataCellStyle="桁区切り"/>
    <tableColumn id="4" name="固定資産税" dataDxfId="30" dataCellStyle="桁区切り"/>
    <tableColumn id="5" name="たばこ税" dataDxfId="29" dataCellStyle="桁区切り"/>
    <tableColumn id="6" name="都市計画税" dataDxfId="28" dataCellStyle="桁区切り"/>
    <tableColumn id="7" name="特別土地保有税" dataDxfId="27" dataCellStyle="桁区切り"/>
    <tableColumn id="8" name="軽自動車税" dataDxfId="26" dataCellStyle="桁区切り"/>
    <tableColumn id="9" name="入湯税" dataDxfId="25" dataCellStyle="桁区切り"/>
    <tableColumn id="10" name="鉱産税" dataDxfId="24" dataCellStyle="桁区切り"/>
    <tableColumn id="11" name="電気税" dataDxfId="23" dataCellStyle="桁区切り"/>
    <tableColumn id="12" name="税収" dataDxfId="22" dataCellStyle="桁区切り"/>
    <tableColumn id="29" name="前年度比" dataDxfId="21" dataCellStyle="桁区切り">
      <calculatedColumnFormula>市税概要[[#This Row],[税収]]-M3</calculatedColumnFormula>
    </tableColumn>
    <tableColumn id="13" name="収納率" dataDxfId="20" dataCellStyle="桁区切り"/>
    <tableColumn id="14" name="納税義務者" dataDxfId="19" dataCellStyle="桁区切り"/>
    <tableColumn id="15" name="総所得" dataDxfId="18" dataCellStyle="桁区切り"/>
    <tableColumn id="16" name="納税義務者1人当たり所得" dataDxfId="17" dataCellStyle="桁区切り">
      <calculatedColumnFormula>Q2/P2</calculatedColumnFormula>
    </tableColumn>
    <tableColumn id="17" name="法人数" dataDxfId="16" dataCellStyle="桁区切り"/>
    <tableColumn id="18" name="軽四輪車台数" dataDxfId="15" dataCellStyle="桁区切り"/>
    <tableColumn id="19" name="たばこ消費本数" dataDxfId="14" dataCellStyle="桁区切り"/>
    <tableColumn id="20" name="宅地面積" dataDxfId="13" dataCellStyle="桁区切り"/>
    <tableColumn id="21" name="給与所得者の率" dataDxfId="12" dataCellStyle="桁区切り"/>
    <tableColumn id="22" name="世帯数" dataDxfId="11" dataCellStyle="桁区切り"/>
    <tableColumn id="23" name="農耕用作業車数" dataDxfId="10" dataCellStyle="桁区切り"/>
    <tableColumn id="24" name="５０CCバイク数" dataDxfId="9" dataCellStyle="桁区切り"/>
    <tableColumn id="25" name="入湯客数" dataDxfId="8" dataCellStyle="桁区切り"/>
    <tableColumn id="26" name="鉱物価格" dataDxfId="7" dataCellStyle="桁区切り"/>
    <tableColumn id="27" name="給与所得者数" dataDxfId="6" dataCellStyle="桁区切り"/>
    <tableColumn id="28" name="農業所得者数" dataDxfId="5" dataCellStyle="桁区切り"/>
    <tableColumn id="31" name="田畑面積" dataDxfId="4" dataCellStyle="桁区切り"/>
    <tableColumn id="32" name="山林面積" dataDxfId="3" dataCellStyle="桁区切り"/>
    <tableColumn id="33" name="木造建物数" dataDxfId="2" dataCellStyle="桁区切り"/>
    <tableColumn id="34" name="非木造建物数" dataDxfId="1" dataCellStyle="桁区切り"/>
    <tableColumn id="35" name="人口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8"/>
  <sheetViews>
    <sheetView showGridLines="0" showRowColHeaders="0" tabSelected="1" zoomScale="80" zoomScaleNormal="80" workbookViewId="0">
      <selection activeCell="U4" sqref="U4"/>
    </sheetView>
  </sheetViews>
  <sheetFormatPr defaultColWidth="0" defaultRowHeight="18.75" zeroHeight="1"/>
  <cols>
    <col min="1" max="18" width="8.75" style="37" customWidth="1"/>
    <col min="19" max="19" width="4.625" style="37" customWidth="1"/>
    <col min="20" max="20" width="11.125" style="37" customWidth="1"/>
    <col min="21" max="24" width="8.75" style="37" customWidth="1"/>
    <col min="25" max="25" width="0" style="37" hidden="1" customWidth="1"/>
    <col min="26" max="16384" width="9" style="37" hidden="1"/>
  </cols>
  <sheetData>
    <row r="1" spans="1:24" ht="39.75" customHeight="1">
      <c r="A1" s="32" t="s">
        <v>115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  <c r="X1" s="36"/>
    </row>
    <row r="2" spans="1:2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U2" s="38"/>
      <c r="V2" s="38"/>
      <c r="W2" s="38"/>
      <c r="X2" s="38"/>
    </row>
    <row r="3" spans="1:24">
      <c r="A3" s="40"/>
      <c r="B3" s="40"/>
      <c r="C3" s="40"/>
      <c r="D3" s="40"/>
      <c r="E3" s="40"/>
      <c r="F3" s="40"/>
      <c r="G3" s="40"/>
      <c r="H3" s="40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41"/>
      <c r="U3" s="42"/>
      <c r="V3" s="38"/>
      <c r="W3" s="40"/>
      <c r="X3" s="43"/>
    </row>
    <row r="4" spans="1:24">
      <c r="A4" s="40"/>
      <c r="B4" s="40"/>
      <c r="C4" s="40"/>
      <c r="D4" s="40"/>
      <c r="E4" s="40"/>
      <c r="F4" s="40"/>
      <c r="G4" s="40"/>
      <c r="H4" s="40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41"/>
      <c r="U4" s="38"/>
      <c r="V4" s="38"/>
      <c r="W4" s="40"/>
      <c r="X4" s="43"/>
    </row>
    <row r="5" spans="1:24">
      <c r="A5" s="40"/>
      <c r="B5" s="40"/>
      <c r="C5" s="40"/>
      <c r="D5" s="40"/>
      <c r="E5" s="40"/>
      <c r="F5" s="40"/>
      <c r="G5" s="40"/>
      <c r="H5" s="40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41"/>
      <c r="U5" s="42"/>
      <c r="V5" s="38"/>
      <c r="W5" s="40"/>
      <c r="X5" s="43"/>
    </row>
    <row r="6" spans="1:24">
      <c r="A6" s="40"/>
      <c r="B6" s="40"/>
      <c r="C6" s="40"/>
      <c r="D6" s="40"/>
      <c r="E6" s="40"/>
      <c r="F6" s="40"/>
      <c r="G6" s="40"/>
      <c r="H6" s="40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41"/>
      <c r="U6" s="38"/>
      <c r="V6" s="38"/>
      <c r="W6" s="40"/>
      <c r="X6" s="43"/>
    </row>
    <row r="7" spans="1:24">
      <c r="A7" s="40"/>
      <c r="B7" s="40"/>
      <c r="C7" s="40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41"/>
      <c r="U7" s="42"/>
      <c r="V7" s="38"/>
      <c r="W7" s="40"/>
      <c r="X7" s="43"/>
    </row>
    <row r="8" spans="1:2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41"/>
      <c r="U8" s="38"/>
      <c r="V8" s="38"/>
      <c r="W8" s="40"/>
      <c r="X8" s="43"/>
    </row>
    <row r="9" spans="1:2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41"/>
      <c r="U9" s="42"/>
      <c r="V9" s="38"/>
      <c r="W9" s="40"/>
      <c r="X9" s="43"/>
    </row>
    <row r="10" spans="1:2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1"/>
      <c r="U10" s="38"/>
      <c r="V10" s="38"/>
      <c r="W10" s="40"/>
      <c r="X10" s="43"/>
    </row>
    <row r="11" spans="1:24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41"/>
      <c r="U11" s="44"/>
      <c r="V11" s="38"/>
      <c r="W11" s="40"/>
      <c r="X11" s="43"/>
    </row>
    <row r="12" spans="1:24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41"/>
      <c r="U12" s="38"/>
      <c r="V12" s="38"/>
      <c r="W12" s="40"/>
      <c r="X12" s="43"/>
    </row>
    <row r="13" spans="1:24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41"/>
      <c r="U13" s="44"/>
      <c r="V13" s="38"/>
      <c r="W13" s="40"/>
      <c r="X13" s="43"/>
    </row>
    <row r="14" spans="1:2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1"/>
      <c r="U14" s="38"/>
      <c r="V14" s="38"/>
      <c r="W14" s="40"/>
      <c r="X14" s="43"/>
    </row>
    <row r="15" spans="1:2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41"/>
      <c r="U15" s="44"/>
      <c r="V15" s="38"/>
      <c r="W15" s="40"/>
      <c r="X15" s="43"/>
    </row>
    <row r="16" spans="1:24">
      <c r="A16" s="38"/>
      <c r="B16" s="42"/>
      <c r="C16" s="38"/>
      <c r="D16" s="38"/>
      <c r="E16" s="38"/>
      <c r="F16" s="38"/>
      <c r="G16" s="38"/>
      <c r="H16" s="40"/>
      <c r="I16" s="43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1"/>
      <c r="U16" s="38"/>
      <c r="V16" s="38"/>
      <c r="W16" s="40"/>
      <c r="X16" s="43"/>
    </row>
    <row r="17" spans="1:24">
      <c r="A17" s="38"/>
      <c r="B17" s="42"/>
      <c r="C17" s="38"/>
      <c r="D17" s="38"/>
      <c r="E17" s="38"/>
      <c r="F17" s="38"/>
      <c r="G17" s="38"/>
      <c r="H17" s="40"/>
      <c r="I17" s="43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41"/>
      <c r="U17" s="44"/>
      <c r="V17" s="38"/>
      <c r="W17" s="40"/>
      <c r="X17" s="43"/>
    </row>
    <row r="18" spans="1:24">
      <c r="A18" s="38"/>
      <c r="B18" s="42"/>
      <c r="C18" s="38"/>
      <c r="D18" s="38"/>
      <c r="E18" s="38"/>
      <c r="F18" s="38"/>
      <c r="G18" s="38"/>
      <c r="H18" s="40"/>
      <c r="I18" s="43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41"/>
      <c r="U18" s="38"/>
      <c r="V18" s="38"/>
      <c r="W18" s="40"/>
      <c r="X18" s="43"/>
    </row>
    <row r="19" spans="1:24">
      <c r="A19" s="38"/>
      <c r="B19" s="42"/>
      <c r="C19" s="38"/>
      <c r="D19" s="38"/>
      <c r="E19" s="38"/>
      <c r="F19" s="38"/>
      <c r="G19" s="38"/>
      <c r="H19" s="40"/>
      <c r="I19" s="43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41"/>
      <c r="U19" s="44"/>
      <c r="V19" s="38"/>
      <c r="W19" s="40"/>
      <c r="X19" s="43"/>
    </row>
    <row r="20" spans="1:24">
      <c r="A20" s="38"/>
      <c r="B20" s="42"/>
      <c r="C20" s="38"/>
      <c r="D20" s="38"/>
      <c r="E20" s="38"/>
      <c r="F20" s="38"/>
      <c r="G20" s="38"/>
      <c r="H20" s="40"/>
      <c r="I20" s="43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41"/>
      <c r="U20" s="38"/>
      <c r="V20" s="38"/>
      <c r="W20" s="40"/>
      <c r="X20" s="43"/>
    </row>
    <row r="21" spans="1:24">
      <c r="A21" s="38"/>
      <c r="B21" s="42"/>
      <c r="C21" s="38"/>
      <c r="D21" s="38"/>
      <c r="E21" s="38"/>
      <c r="F21" s="38"/>
      <c r="G21" s="38"/>
      <c r="H21" s="40"/>
      <c r="I21" s="43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41"/>
      <c r="U21" s="44"/>
      <c r="V21" s="38"/>
      <c r="W21" s="40"/>
      <c r="X21" s="43"/>
    </row>
    <row r="22" spans="1:24">
      <c r="A22" s="38"/>
      <c r="B22" s="42"/>
      <c r="C22" s="38"/>
      <c r="D22" s="38"/>
      <c r="E22" s="38"/>
      <c r="F22" s="38"/>
      <c r="G22" s="38"/>
      <c r="H22" s="40"/>
      <c r="I22" s="43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41"/>
      <c r="U22" s="38"/>
      <c r="V22" s="38"/>
      <c r="W22" s="40"/>
      <c r="X22" s="43"/>
    </row>
    <row r="23" spans="1:24">
      <c r="A23" s="38"/>
      <c r="B23" s="42"/>
      <c r="C23" s="38"/>
      <c r="D23" s="38"/>
      <c r="E23" s="38"/>
      <c r="F23" s="38"/>
      <c r="G23" s="38"/>
      <c r="H23" s="40"/>
      <c r="I23" s="4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41"/>
      <c r="U23" s="44"/>
      <c r="V23" s="38"/>
      <c r="W23" s="40"/>
      <c r="X23" s="43"/>
    </row>
    <row r="24" spans="1:24">
      <c r="A24" s="38"/>
      <c r="B24" s="42"/>
      <c r="C24" s="38"/>
      <c r="D24" s="38"/>
      <c r="E24" s="38"/>
      <c r="F24" s="38"/>
      <c r="G24" s="38"/>
      <c r="H24" s="40"/>
      <c r="I24" s="43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1"/>
      <c r="U24" s="38"/>
      <c r="V24" s="38"/>
      <c r="W24" s="40"/>
      <c r="X24" s="43"/>
    </row>
    <row r="25" spans="1:24">
      <c r="A25" s="38"/>
      <c r="B25" s="42"/>
      <c r="C25" s="42"/>
      <c r="D25" s="42"/>
      <c r="E25" s="42"/>
      <c r="F25" s="38"/>
      <c r="G25" s="38"/>
      <c r="H25" s="40"/>
      <c r="I25" s="43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1"/>
      <c r="U25" s="44"/>
      <c r="V25" s="38"/>
      <c r="W25" s="40"/>
      <c r="X25" s="43"/>
    </row>
    <row r="26" spans="1:2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41"/>
      <c r="U26" s="38"/>
      <c r="V26" s="38"/>
      <c r="W26" s="40"/>
      <c r="X26" s="43"/>
    </row>
    <row r="27" spans="1:2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41"/>
      <c r="U27" s="38"/>
      <c r="V27" s="38"/>
      <c r="W27" s="40"/>
      <c r="X27" s="43"/>
    </row>
    <row r="28" spans="1:2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41"/>
      <c r="U28" s="38"/>
      <c r="V28" s="38"/>
      <c r="W28" s="38"/>
      <c r="X28" s="38"/>
    </row>
  </sheetData>
  <sheetProtection algorithmName="SHA-512" hashValue="7D8o4mduTv77NrPkJ9wAkqPEnmt4u/3GamF3N0X/8EIbTG6SYY7QZEfk3FwCkWZYLxmS86wzhGlbk0m3qu7LJw==" saltValue="CZgp0Lqv4mSpQNAmd18CZw==" spinCount="100000" sheet="1" objects="1" scenarios="1" selectLockedCells="1" selectUnlockedCells="1"/>
  <phoneticPr fontId="2"/>
  <pageMargins left="0.7" right="0.7" top="0.75" bottom="0.75" header="0.3" footer="0.3"/>
  <drawing r:id="rId1"/>
  <legacy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I36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R24" sqref="R24"/>
    </sheetView>
  </sheetViews>
  <sheetFormatPr defaultRowHeight="18.75"/>
  <cols>
    <col min="1" max="2" width="10.75" customWidth="1"/>
    <col min="3" max="5" width="12.125" style="17" customWidth="1"/>
    <col min="6" max="6" width="10.5" style="17" bestFit="1" customWidth="1"/>
    <col min="7" max="7" width="12.125" style="17" customWidth="1"/>
    <col min="8" max="8" width="15.875" style="17" customWidth="1"/>
    <col min="9" max="9" width="12.125" style="17" customWidth="1"/>
    <col min="10" max="11" width="10.5" style="17" bestFit="1" customWidth="1"/>
    <col min="12" max="12" width="9.5" style="17" bestFit="1" customWidth="1"/>
    <col min="13" max="13" width="15.625" style="17" customWidth="1"/>
    <col min="14" max="14" width="15.625" customWidth="1"/>
    <col min="15" max="15" width="9.5" customWidth="1"/>
    <col min="16" max="16" width="12.5" customWidth="1"/>
    <col min="17" max="17" width="14.375" customWidth="1"/>
    <col min="18" max="18" width="24.5" customWidth="1"/>
    <col min="19" max="19" width="9.5" customWidth="1"/>
    <col min="20" max="20" width="14" customWidth="1"/>
    <col min="21" max="21" width="15.875" customWidth="1"/>
    <col min="22" max="22" width="9.5" bestFit="1" customWidth="1"/>
    <col min="28" max="28" width="10.5" bestFit="1" customWidth="1"/>
    <col min="29" max="29" width="12.75" customWidth="1"/>
  </cols>
  <sheetData>
    <row r="1" spans="1:35">
      <c r="A1" s="1" t="s">
        <v>0</v>
      </c>
      <c r="B1" s="1" t="s">
        <v>78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" t="s">
        <v>38</v>
      </c>
      <c r="O1" s="1" t="s">
        <v>15</v>
      </c>
      <c r="P1" s="1" t="s">
        <v>17</v>
      </c>
      <c r="Q1" s="1" t="s">
        <v>16</v>
      </c>
      <c r="R1" s="4" t="s">
        <v>18</v>
      </c>
      <c r="S1" s="1" t="s">
        <v>12</v>
      </c>
      <c r="T1" s="1" t="s">
        <v>13</v>
      </c>
      <c r="U1" s="1" t="s">
        <v>14</v>
      </c>
      <c r="V1" s="1" t="s">
        <v>80</v>
      </c>
      <c r="W1" s="1" t="s">
        <v>81</v>
      </c>
      <c r="X1" s="1" t="s">
        <v>86</v>
      </c>
      <c r="Y1" s="1" t="s">
        <v>87</v>
      </c>
      <c r="Z1" s="1" t="s">
        <v>88</v>
      </c>
      <c r="AA1" s="1" t="s">
        <v>89</v>
      </c>
      <c r="AB1" s="1" t="s">
        <v>113</v>
      </c>
      <c r="AC1" s="1" t="s">
        <v>90</v>
      </c>
      <c r="AD1" s="1" t="s">
        <v>91</v>
      </c>
      <c r="AE1" s="22" t="s">
        <v>92</v>
      </c>
      <c r="AF1" s="22" t="s">
        <v>93</v>
      </c>
      <c r="AG1" s="22" t="s">
        <v>94</v>
      </c>
      <c r="AH1" s="22" t="s">
        <v>95</v>
      </c>
      <c r="AI1" s="22" t="s">
        <v>96</v>
      </c>
    </row>
    <row r="2" spans="1:35">
      <c r="A2" s="1" t="s">
        <v>43</v>
      </c>
      <c r="B2" s="21">
        <v>1989</v>
      </c>
      <c r="C2" s="16">
        <v>2172919570</v>
      </c>
      <c r="D2" s="16">
        <v>1542712382</v>
      </c>
      <c r="E2" s="16">
        <f>2666291471+9537500</f>
        <v>2675828971</v>
      </c>
      <c r="F2" s="16">
        <f>251661304+23451486</f>
        <v>275112790</v>
      </c>
      <c r="G2" s="16">
        <v>347999634</v>
      </c>
      <c r="H2" s="16">
        <v>7512780</v>
      </c>
      <c r="I2" s="16">
        <v>60298240</v>
      </c>
      <c r="J2" s="16">
        <v>7103800</v>
      </c>
      <c r="K2" s="16">
        <v>872800</v>
      </c>
      <c r="L2" s="16">
        <v>32637896</v>
      </c>
      <c r="M2" s="15">
        <f>SUM(市税概要[[#This Row],[個人住民税]:[電気税]])</f>
        <v>7122998863</v>
      </c>
      <c r="N2" s="8">
        <f>市税概要[[#This Row],[税収]]-6577732856</f>
        <v>545266007</v>
      </c>
      <c r="O2" s="3">
        <v>0.97509999999999997</v>
      </c>
      <c r="P2" s="1">
        <v>24114</v>
      </c>
      <c r="Q2" s="1">
        <v>61730563000</v>
      </c>
      <c r="R2" s="1">
        <f>Q2/P2</f>
        <v>2559947.0432114126</v>
      </c>
      <c r="S2" s="1">
        <v>1135</v>
      </c>
      <c r="T2" s="1">
        <v>9772</v>
      </c>
      <c r="U2" s="1">
        <v>14124</v>
      </c>
      <c r="V2" s="1">
        <v>9217</v>
      </c>
      <c r="W2" s="3">
        <v>0.80400000000000005</v>
      </c>
      <c r="X2" s="1">
        <v>16304</v>
      </c>
      <c r="Y2" s="1">
        <v>2344</v>
      </c>
      <c r="Z2" s="1">
        <v>7854</v>
      </c>
      <c r="AA2" s="1">
        <v>53143</v>
      </c>
      <c r="AB2" s="1">
        <v>67945</v>
      </c>
      <c r="AC2" s="1">
        <v>19391</v>
      </c>
      <c r="AD2" s="21">
        <v>659</v>
      </c>
      <c r="AE2" s="1">
        <f>13311+25387</f>
        <v>38698</v>
      </c>
      <c r="AF2" s="1">
        <v>45855</v>
      </c>
      <c r="AG2" s="1">
        <v>31790</v>
      </c>
      <c r="AH2" s="1">
        <v>7167</v>
      </c>
      <c r="AI2" s="22">
        <v>56630</v>
      </c>
    </row>
    <row r="3" spans="1:35">
      <c r="A3" s="1" t="s">
        <v>44</v>
      </c>
      <c r="B3" s="21">
        <v>1990</v>
      </c>
      <c r="C3" s="16">
        <v>2362176621</v>
      </c>
      <c r="D3" s="16">
        <v>1278081190</v>
      </c>
      <c r="E3" s="16">
        <f>2882359359+11071100</f>
        <v>2893430459</v>
      </c>
      <c r="F3" s="16">
        <v>286791243</v>
      </c>
      <c r="G3" s="16">
        <v>367783781</v>
      </c>
      <c r="H3" s="16">
        <v>11318900</v>
      </c>
      <c r="I3" s="16">
        <v>62286220</v>
      </c>
      <c r="J3" s="16">
        <v>7090650</v>
      </c>
      <c r="K3" s="16">
        <v>1166400</v>
      </c>
      <c r="L3" s="16">
        <v>0</v>
      </c>
      <c r="M3" s="15">
        <f>SUM(市税概要[[#This Row],[個人住民税]:[電気税]])</f>
        <v>7270125464</v>
      </c>
      <c r="N3" s="8">
        <f>市税概要[[#This Row],[税収]]-M2</f>
        <v>147126601</v>
      </c>
      <c r="O3" s="3">
        <v>0.97629999999999995</v>
      </c>
      <c r="P3" s="1">
        <v>24358</v>
      </c>
      <c r="Q3" s="1">
        <v>67001568000</v>
      </c>
      <c r="R3" s="1">
        <f t="shared" ref="R3:R36" si="0">Q3/P3</f>
        <v>2750700.7143443632</v>
      </c>
      <c r="S3" s="1">
        <v>1159</v>
      </c>
      <c r="T3" s="1">
        <v>10231</v>
      </c>
      <c r="U3" s="1">
        <v>14688</v>
      </c>
      <c r="V3" s="1">
        <v>9546</v>
      </c>
      <c r="W3" s="3">
        <v>0.80900000000000005</v>
      </c>
      <c r="X3" s="1">
        <v>16578</v>
      </c>
      <c r="Y3" s="1">
        <v>2334</v>
      </c>
      <c r="Z3" s="1">
        <v>7571</v>
      </c>
      <c r="AA3" s="1">
        <v>53307</v>
      </c>
      <c r="AB3" s="1">
        <v>87379</v>
      </c>
      <c r="AC3" s="1">
        <v>19692</v>
      </c>
      <c r="AD3" s="21">
        <v>665</v>
      </c>
      <c r="AE3" s="1">
        <f>13149+25223</f>
        <v>38372</v>
      </c>
      <c r="AF3" s="1">
        <v>45840</v>
      </c>
      <c r="AG3" s="1">
        <v>31925</v>
      </c>
      <c r="AH3" s="1">
        <v>7488</v>
      </c>
      <c r="AI3" s="22">
        <v>57144</v>
      </c>
    </row>
    <row r="4" spans="1:35">
      <c r="A4" s="1" t="s">
        <v>45</v>
      </c>
      <c r="B4" s="21">
        <v>1991</v>
      </c>
      <c r="C4" s="16">
        <v>2396076120</v>
      </c>
      <c r="D4" s="16">
        <v>1199696726</v>
      </c>
      <c r="E4" s="16">
        <f>3145598152+11580900</f>
        <v>3157179052</v>
      </c>
      <c r="F4" s="16">
        <v>292457086</v>
      </c>
      <c r="G4" s="16">
        <v>400845220</v>
      </c>
      <c r="H4" s="16">
        <v>8302730</v>
      </c>
      <c r="I4" s="16">
        <v>66266247</v>
      </c>
      <c r="J4" s="16">
        <v>7692550</v>
      </c>
      <c r="K4" s="16">
        <v>1345800</v>
      </c>
      <c r="L4" s="16">
        <v>0</v>
      </c>
      <c r="M4" s="15">
        <f>SUM(市税概要[[#This Row],[個人住民税]:[電気税]])</f>
        <v>7529861531</v>
      </c>
      <c r="N4" s="8">
        <f>市税概要[[#This Row],[税収]]-M3</f>
        <v>259736067</v>
      </c>
      <c r="O4" s="3">
        <v>0.97670000000000001</v>
      </c>
      <c r="P4" s="1">
        <v>25397</v>
      </c>
      <c r="Q4" s="1">
        <v>73815041000</v>
      </c>
      <c r="R4" s="1">
        <f t="shared" si="0"/>
        <v>2906447.2575501045</v>
      </c>
      <c r="S4" s="1">
        <v>1203</v>
      </c>
      <c r="T4" s="1">
        <f>1666+9132+67</f>
        <v>10865</v>
      </c>
      <c r="U4" s="1">
        <v>14897</v>
      </c>
      <c r="V4" s="1">
        <v>9865</v>
      </c>
      <c r="W4" s="3">
        <v>0.81599999999999995</v>
      </c>
      <c r="X4" s="1">
        <v>16959</v>
      </c>
      <c r="Y4" s="1">
        <v>2353</v>
      </c>
      <c r="Z4" s="1">
        <v>7338</v>
      </c>
      <c r="AA4" s="1">
        <v>57806</v>
      </c>
      <c r="AB4" s="1">
        <v>116640</v>
      </c>
      <c r="AC4" s="1">
        <v>20719</v>
      </c>
      <c r="AD4" s="21">
        <v>672</v>
      </c>
      <c r="AE4" s="1">
        <f>13099+24965</f>
        <v>38064</v>
      </c>
      <c r="AF4" s="1">
        <v>45863</v>
      </c>
      <c r="AG4" s="1">
        <v>31900</v>
      </c>
      <c r="AH4" s="1">
        <v>7762</v>
      </c>
      <c r="AI4" s="22">
        <v>57640</v>
      </c>
    </row>
    <row r="5" spans="1:35">
      <c r="A5" s="1" t="s">
        <v>46</v>
      </c>
      <c r="B5" s="21">
        <v>1992</v>
      </c>
      <c r="C5" s="16">
        <v>2830822249</v>
      </c>
      <c r="D5" s="16">
        <v>981112696</v>
      </c>
      <c r="E5" s="16">
        <f>3433102416+11960000</f>
        <v>3445062416</v>
      </c>
      <c r="F5" s="16">
        <v>290739271</v>
      </c>
      <c r="G5" s="16">
        <v>436536897</v>
      </c>
      <c r="H5" s="16">
        <v>52568900</v>
      </c>
      <c r="I5" s="16">
        <v>70019680</v>
      </c>
      <c r="J5" s="16">
        <v>7741050</v>
      </c>
      <c r="K5" s="16">
        <v>1307100</v>
      </c>
      <c r="L5" s="16">
        <v>0</v>
      </c>
      <c r="M5" s="15">
        <f>SUM(市税概要[[#This Row],[個人住民税]:[電気税]])</f>
        <v>8115910259</v>
      </c>
      <c r="N5" s="8">
        <f>市税概要[[#This Row],[税収]]-M4</f>
        <v>586048728</v>
      </c>
      <c r="O5" s="3">
        <v>0.9778</v>
      </c>
      <c r="P5" s="1">
        <v>26163</v>
      </c>
      <c r="Q5" s="1">
        <v>84181009000</v>
      </c>
      <c r="R5" s="1">
        <f t="shared" si="0"/>
        <v>3217559.4924129494</v>
      </c>
      <c r="S5" s="1">
        <v>1292</v>
      </c>
      <c r="T5" s="1">
        <f>9061+75+2242</f>
        <v>11378</v>
      </c>
      <c r="U5" s="1">
        <v>14777</v>
      </c>
      <c r="V5" s="1">
        <v>9982</v>
      </c>
      <c r="W5" s="3">
        <v>0.82</v>
      </c>
      <c r="X5" s="1">
        <v>17474</v>
      </c>
      <c r="Y5" s="1">
        <v>2374</v>
      </c>
      <c r="Z5" s="1">
        <v>7096</v>
      </c>
      <c r="AA5" s="1">
        <v>58621</v>
      </c>
      <c r="AB5" s="1">
        <v>134580</v>
      </c>
      <c r="AC5" s="1">
        <v>21459</v>
      </c>
      <c r="AD5" s="21">
        <v>664</v>
      </c>
      <c r="AE5" s="1">
        <f>12499+25018</f>
        <v>37517</v>
      </c>
      <c r="AF5" s="1">
        <v>46270</v>
      </c>
      <c r="AG5" s="1">
        <v>31853</v>
      </c>
      <c r="AH5" s="1">
        <v>7962</v>
      </c>
      <c r="AI5" s="22">
        <v>58372</v>
      </c>
    </row>
    <row r="6" spans="1:35">
      <c r="A6" s="1" t="s">
        <v>47</v>
      </c>
      <c r="B6" s="21">
        <v>1993</v>
      </c>
      <c r="C6" s="16">
        <v>2776335075</v>
      </c>
      <c r="D6" s="16">
        <v>835481983</v>
      </c>
      <c r="E6" s="16">
        <f>3661376634+12522200</f>
        <v>3673898834</v>
      </c>
      <c r="F6" s="16">
        <v>296880847</v>
      </c>
      <c r="G6" s="16">
        <v>479220985</v>
      </c>
      <c r="H6" s="16">
        <v>13129100</v>
      </c>
      <c r="I6" s="16">
        <v>72804500</v>
      </c>
      <c r="J6" s="16">
        <v>8120150</v>
      </c>
      <c r="K6" s="16">
        <v>1285900</v>
      </c>
      <c r="L6" s="16">
        <v>0</v>
      </c>
      <c r="M6" s="15">
        <f>SUM(市税概要[[#This Row],[個人住民税]:[電気税]])</f>
        <v>8157157374</v>
      </c>
      <c r="N6" s="8">
        <f>市税概要[[#This Row],[税収]]-M5</f>
        <v>41247115</v>
      </c>
      <c r="O6" s="3">
        <v>0.97629999999999995</v>
      </c>
      <c r="P6" s="1">
        <v>27050</v>
      </c>
      <c r="Q6" s="1">
        <v>81879059000</v>
      </c>
      <c r="R6" s="1">
        <f t="shared" si="0"/>
        <v>3026952.2735674675</v>
      </c>
      <c r="S6" s="1">
        <v>1325</v>
      </c>
      <c r="T6" s="1">
        <f>2717+73+8906</f>
        <v>11696</v>
      </c>
      <c r="U6" s="1">
        <v>15067</v>
      </c>
      <c r="V6" s="1">
        <v>10186</v>
      </c>
      <c r="W6" s="3">
        <v>0.83</v>
      </c>
      <c r="X6" s="1">
        <v>17932</v>
      </c>
      <c r="Y6" s="1">
        <v>2393</v>
      </c>
      <c r="Z6" s="1">
        <v>6803</v>
      </c>
      <c r="AA6" s="1">
        <v>61204</v>
      </c>
      <c r="AB6" s="1">
        <v>128696</v>
      </c>
      <c r="AC6" s="1">
        <v>22450</v>
      </c>
      <c r="AD6" s="21">
        <v>600</v>
      </c>
      <c r="AE6" s="1">
        <f>12380+24480</f>
        <v>36860</v>
      </c>
      <c r="AF6" s="1">
        <v>46278</v>
      </c>
      <c r="AG6" s="1">
        <v>31804</v>
      </c>
      <c r="AH6" s="1">
        <v>8232</v>
      </c>
      <c r="AI6" s="22">
        <v>59019</v>
      </c>
    </row>
    <row r="7" spans="1:35">
      <c r="A7" s="1" t="s">
        <v>48</v>
      </c>
      <c r="B7" s="21">
        <v>1994</v>
      </c>
      <c r="C7" s="16">
        <v>2501252609</v>
      </c>
      <c r="D7" s="16">
        <v>870465517</v>
      </c>
      <c r="E7" s="16">
        <f>3836136050+15319100</f>
        <v>3851455150</v>
      </c>
      <c r="F7" s="16">
        <v>311827631</v>
      </c>
      <c r="G7" s="16">
        <v>500385109</v>
      </c>
      <c r="H7" s="16">
        <v>6432500</v>
      </c>
      <c r="I7" s="16">
        <v>75485300</v>
      </c>
      <c r="J7" s="16">
        <v>7889650</v>
      </c>
      <c r="K7" s="16">
        <v>961500</v>
      </c>
      <c r="L7" s="16">
        <v>0</v>
      </c>
      <c r="M7" s="15">
        <f>SUM(市税概要[[#This Row],[個人住民税]:[電気税]])</f>
        <v>8126154966</v>
      </c>
      <c r="N7" s="8">
        <f>市税概要[[#This Row],[税収]]-M6</f>
        <v>-31002408</v>
      </c>
      <c r="O7" s="3">
        <v>0.97050000000000003</v>
      </c>
      <c r="P7" s="1">
        <v>27282</v>
      </c>
      <c r="Q7" s="1">
        <v>84050174000</v>
      </c>
      <c r="R7" s="1">
        <f t="shared" si="0"/>
        <v>3080792.2439703834</v>
      </c>
      <c r="S7" s="1">
        <v>1366</v>
      </c>
      <c r="T7" s="1">
        <f>8847+74+3199</f>
        <v>12120</v>
      </c>
      <c r="U7" s="1">
        <v>15798</v>
      </c>
      <c r="V7" s="1">
        <v>10477</v>
      </c>
      <c r="W7" s="3">
        <v>0.82799999999999996</v>
      </c>
      <c r="X7" s="1">
        <v>18326</v>
      </c>
      <c r="Y7" s="1">
        <v>2543</v>
      </c>
      <c r="Z7" s="1">
        <v>6541</v>
      </c>
      <c r="AA7" s="1">
        <v>59840</v>
      </c>
      <c r="AB7" s="1">
        <v>96267</v>
      </c>
      <c r="AC7" s="1">
        <v>22590</v>
      </c>
      <c r="AD7" s="21">
        <v>623</v>
      </c>
      <c r="AE7" s="1">
        <f>12417+24349</f>
        <v>36766</v>
      </c>
      <c r="AF7" s="1">
        <v>46009</v>
      </c>
      <c r="AG7" s="1">
        <v>30578</v>
      </c>
      <c r="AH7" s="1">
        <v>8288</v>
      </c>
      <c r="AI7" s="22">
        <v>59448</v>
      </c>
    </row>
    <row r="8" spans="1:35">
      <c r="A8" s="1" t="s">
        <v>49</v>
      </c>
      <c r="B8" s="21">
        <v>1995</v>
      </c>
      <c r="C8" s="16">
        <v>2502110664</v>
      </c>
      <c r="D8" s="16">
        <v>1056888545</v>
      </c>
      <c r="E8" s="16">
        <f>4104071972+15951000</f>
        <v>4120022972</v>
      </c>
      <c r="F8" s="16">
        <v>318276713</v>
      </c>
      <c r="G8" s="16">
        <v>535892957</v>
      </c>
      <c r="H8" s="16">
        <v>26066100</v>
      </c>
      <c r="I8" s="16">
        <v>78921600</v>
      </c>
      <c r="J8" s="16">
        <v>7412800</v>
      </c>
      <c r="K8" s="16">
        <v>747700</v>
      </c>
      <c r="L8" s="16">
        <v>0</v>
      </c>
      <c r="M8" s="15">
        <f>SUM(市税概要[[#This Row],[個人住民税]:[電気税]])</f>
        <v>8646340051</v>
      </c>
      <c r="N8" s="8">
        <f>市税概要[[#This Row],[税収]]-M7</f>
        <v>520185085</v>
      </c>
      <c r="O8" s="3">
        <v>0.96860000000000002</v>
      </c>
      <c r="P8" s="1">
        <v>28144</v>
      </c>
      <c r="Q8" s="1">
        <v>87156403000</v>
      </c>
      <c r="R8" s="1">
        <f t="shared" si="0"/>
        <v>3096802.2669130187</v>
      </c>
      <c r="S8" s="1">
        <v>1411</v>
      </c>
      <c r="T8" s="1">
        <f>8801+77+3755</f>
        <v>12633</v>
      </c>
      <c r="U8" s="1">
        <v>16094</v>
      </c>
      <c r="V8" s="1">
        <v>10649</v>
      </c>
      <c r="W8" s="3">
        <v>0.82599999999999996</v>
      </c>
      <c r="X8" s="1">
        <v>18516</v>
      </c>
      <c r="Y8" s="1">
        <v>2555</v>
      </c>
      <c r="Z8" s="1">
        <v>6338</v>
      </c>
      <c r="AA8" s="1">
        <v>56138</v>
      </c>
      <c r="AB8" s="1">
        <v>76823</v>
      </c>
      <c r="AC8" s="1">
        <v>23239</v>
      </c>
      <c r="AD8" s="21">
        <v>677</v>
      </c>
      <c r="AE8" s="1">
        <f>12375+24155</f>
        <v>36530</v>
      </c>
      <c r="AF8" s="1">
        <v>46002</v>
      </c>
      <c r="AG8" s="1">
        <v>27944</v>
      </c>
      <c r="AH8" s="1">
        <v>8294</v>
      </c>
      <c r="AI8" s="22">
        <v>59621</v>
      </c>
    </row>
    <row r="9" spans="1:35">
      <c r="A9" s="1" t="s">
        <v>50</v>
      </c>
      <c r="B9" s="21">
        <v>1996</v>
      </c>
      <c r="C9" s="16">
        <v>2475510635</v>
      </c>
      <c r="D9" s="16">
        <v>1015807696</v>
      </c>
      <c r="E9" s="16">
        <f>4293077230+19587300</f>
        <v>4312664530</v>
      </c>
      <c r="F9" s="16">
        <v>317356186</v>
      </c>
      <c r="G9" s="16">
        <v>565913820</v>
      </c>
      <c r="H9" s="16">
        <v>10947200</v>
      </c>
      <c r="I9" s="16">
        <v>82853400</v>
      </c>
      <c r="J9" s="16">
        <v>6710650</v>
      </c>
      <c r="K9" s="16">
        <v>1005400</v>
      </c>
      <c r="L9" s="16">
        <v>0</v>
      </c>
      <c r="M9" s="15">
        <f>SUM(市税概要[[#This Row],[個人住民税]:[電気税]])</f>
        <v>8788769517</v>
      </c>
      <c r="N9" s="8">
        <f>市税概要[[#This Row],[税収]]-M8</f>
        <v>142429466</v>
      </c>
      <c r="O9" s="3">
        <v>0.96399999999999997</v>
      </c>
      <c r="P9" s="1">
        <v>28672</v>
      </c>
      <c r="Q9" s="1">
        <v>88118610000</v>
      </c>
      <c r="R9" s="1">
        <f t="shared" si="0"/>
        <v>3073333.2170758927</v>
      </c>
      <c r="S9" s="1">
        <v>1431</v>
      </c>
      <c r="T9" s="1">
        <f>4381+77+8682</f>
        <v>13140</v>
      </c>
      <c r="U9" s="1">
        <v>16031</v>
      </c>
      <c r="V9" s="1">
        <v>10836</v>
      </c>
      <c r="W9" s="3">
        <v>0.82299999999999995</v>
      </c>
      <c r="X9" s="1">
        <v>18909</v>
      </c>
      <c r="Y9" s="1">
        <v>2560</v>
      </c>
      <c r="Z9" s="1">
        <v>6091</v>
      </c>
      <c r="AA9" s="1">
        <f>18340+32511</f>
        <v>50851</v>
      </c>
      <c r="AB9" s="1">
        <v>101766</v>
      </c>
      <c r="AC9" s="1">
        <v>23607</v>
      </c>
      <c r="AD9" s="21">
        <v>584</v>
      </c>
      <c r="AE9" s="1">
        <f>12324+23894</f>
        <v>36218</v>
      </c>
      <c r="AF9" s="1">
        <v>46076</v>
      </c>
      <c r="AG9" s="1">
        <v>27839</v>
      </c>
      <c r="AH9" s="1">
        <v>8479</v>
      </c>
      <c r="AI9" s="22">
        <v>60116</v>
      </c>
    </row>
    <row r="10" spans="1:35">
      <c r="A10" s="1" t="s">
        <v>51</v>
      </c>
      <c r="B10" s="21">
        <v>1997</v>
      </c>
      <c r="C10" s="16">
        <v>2802191296</v>
      </c>
      <c r="D10" s="16">
        <v>1054727225</v>
      </c>
      <c r="E10" s="16">
        <f>4290572395+19029700</f>
        <v>4309602095</v>
      </c>
      <c r="F10" s="16">
        <v>329000164</v>
      </c>
      <c r="G10" s="16">
        <v>560116923</v>
      </c>
      <c r="H10" s="16">
        <v>11047900</v>
      </c>
      <c r="I10" s="16">
        <v>87007200</v>
      </c>
      <c r="J10" s="16">
        <v>6270800</v>
      </c>
      <c r="K10" s="16">
        <v>767000</v>
      </c>
      <c r="L10" s="16">
        <v>0</v>
      </c>
      <c r="M10" s="15">
        <f>SUM(市税概要[[#This Row],[個人住民税]:[電気税]])</f>
        <v>9160730603</v>
      </c>
      <c r="N10" s="8">
        <f>市税概要[[#This Row],[税収]]-M9</f>
        <v>371961086</v>
      </c>
      <c r="O10" s="3">
        <v>0.95779999999999998</v>
      </c>
      <c r="P10" s="1">
        <v>28988</v>
      </c>
      <c r="Q10" s="1">
        <v>90853176000</v>
      </c>
      <c r="R10" s="1">
        <f t="shared" si="0"/>
        <v>3134165.0338070928</v>
      </c>
      <c r="S10" s="1">
        <v>1497</v>
      </c>
      <c r="T10" s="1">
        <f>5089+91+8399</f>
        <v>13579</v>
      </c>
      <c r="U10" s="1">
        <v>13904</v>
      </c>
      <c r="V10" s="1">
        <v>10943</v>
      </c>
      <c r="W10" s="3">
        <v>0.82499999999999996</v>
      </c>
      <c r="X10" s="1">
        <v>19171</v>
      </c>
      <c r="Y10" s="1">
        <v>2961</v>
      </c>
      <c r="Z10" s="1">
        <v>5812</v>
      </c>
      <c r="AA10" s="1">
        <f>15809+31266</f>
        <v>47075</v>
      </c>
      <c r="AB10" s="1">
        <v>79593</v>
      </c>
      <c r="AC10" s="1">
        <v>23911</v>
      </c>
      <c r="AD10" s="21">
        <v>454</v>
      </c>
      <c r="AE10" s="1">
        <v>35959</v>
      </c>
      <c r="AF10" s="1">
        <v>46018</v>
      </c>
      <c r="AG10" s="1">
        <v>27427</v>
      </c>
      <c r="AH10" s="1">
        <v>8657</v>
      </c>
      <c r="AI10" s="22">
        <v>60309</v>
      </c>
    </row>
    <row r="11" spans="1:35">
      <c r="A11" s="1" t="s">
        <v>52</v>
      </c>
      <c r="B11" s="21">
        <v>1998</v>
      </c>
      <c r="C11" s="16">
        <v>2585915780</v>
      </c>
      <c r="D11" s="16">
        <v>2501464600</v>
      </c>
      <c r="E11" s="16">
        <f>4458627891+20017900</f>
        <v>4478645791</v>
      </c>
      <c r="F11" s="16">
        <v>328583769</v>
      </c>
      <c r="G11" s="16">
        <v>486094259</v>
      </c>
      <c r="H11" s="16">
        <v>8225890</v>
      </c>
      <c r="I11" s="16">
        <v>89891700</v>
      </c>
      <c r="J11" s="16">
        <v>5856150</v>
      </c>
      <c r="K11" s="16">
        <v>866100</v>
      </c>
      <c r="L11" s="16">
        <v>0</v>
      </c>
      <c r="M11" s="15">
        <f>SUM(市税概要[[#This Row],[個人住民税]:[電気税]])</f>
        <v>10485544039</v>
      </c>
      <c r="N11" s="8">
        <f>市税概要[[#This Row],[税収]]-M10</f>
        <v>1324813436</v>
      </c>
      <c r="O11" s="3">
        <v>0.95589999999999997</v>
      </c>
      <c r="P11" s="1">
        <v>29783</v>
      </c>
      <c r="Q11" s="1">
        <v>94231764000</v>
      </c>
      <c r="R11" s="1">
        <f t="shared" si="0"/>
        <v>3163944.6664204411</v>
      </c>
      <c r="S11" s="1">
        <v>1509</v>
      </c>
      <c r="T11" s="1">
        <f>5649+93+8245</f>
        <v>13987</v>
      </c>
      <c r="U11" s="1">
        <v>13612</v>
      </c>
      <c r="V11" s="1">
        <v>11031</v>
      </c>
      <c r="W11" s="3">
        <v>0.82299999999999995</v>
      </c>
      <c r="X11" s="1">
        <v>19597</v>
      </c>
      <c r="Y11" s="1">
        <v>2928</v>
      </c>
      <c r="Z11" s="1">
        <v>5568</v>
      </c>
      <c r="AA11" s="1">
        <f>14979+29055</f>
        <v>44034</v>
      </c>
      <c r="AB11" s="1">
        <v>89333</v>
      </c>
      <c r="AC11" s="1">
        <v>24523</v>
      </c>
      <c r="AD11" s="21">
        <v>589</v>
      </c>
      <c r="AE11" s="1">
        <f>12228+23402</f>
        <v>35630</v>
      </c>
      <c r="AF11" s="1">
        <v>46012</v>
      </c>
      <c r="AG11" s="1">
        <v>26934</v>
      </c>
      <c r="AH11" s="1">
        <v>8832</v>
      </c>
      <c r="AI11" s="22">
        <v>60761</v>
      </c>
    </row>
    <row r="12" spans="1:35">
      <c r="A12" s="1" t="s">
        <v>53</v>
      </c>
      <c r="B12" s="21">
        <v>1999</v>
      </c>
      <c r="C12" s="16">
        <v>2720372751</v>
      </c>
      <c r="D12" s="16">
        <v>1350267200</v>
      </c>
      <c r="E12" s="16">
        <f>4576195806+20199400</f>
        <v>4596395206</v>
      </c>
      <c r="F12" s="16">
        <v>352961154</v>
      </c>
      <c r="G12" s="16">
        <v>500689279</v>
      </c>
      <c r="H12" s="16">
        <v>5278800</v>
      </c>
      <c r="I12" s="16">
        <v>94068900</v>
      </c>
      <c r="J12" s="16">
        <v>5772350</v>
      </c>
      <c r="K12" s="16">
        <v>968300</v>
      </c>
      <c r="L12" s="16">
        <v>0</v>
      </c>
      <c r="M12" s="15">
        <f>SUM(市税概要[[#This Row],[個人住民税]:[電気税]])</f>
        <v>9626773940</v>
      </c>
      <c r="N12" s="8">
        <f>市税概要[[#This Row],[税収]]-M11</f>
        <v>-858770099</v>
      </c>
      <c r="O12" s="3">
        <v>0.94599999999999995</v>
      </c>
      <c r="P12" s="1">
        <v>30103</v>
      </c>
      <c r="Q12" s="1">
        <v>93247321000</v>
      </c>
      <c r="R12" s="1">
        <f t="shared" si="0"/>
        <v>3097608.909411022</v>
      </c>
      <c r="S12" s="1">
        <v>1550</v>
      </c>
      <c r="T12" s="1">
        <f>6342+102+8156</f>
        <v>14600</v>
      </c>
      <c r="U12" s="1">
        <v>13539</v>
      </c>
      <c r="V12" s="1">
        <v>11246</v>
      </c>
      <c r="W12" s="3">
        <v>0.82299999999999995</v>
      </c>
      <c r="X12" s="1">
        <v>20087</v>
      </c>
      <c r="Y12" s="1">
        <v>2911</v>
      </c>
      <c r="Z12" s="1">
        <v>5362</v>
      </c>
      <c r="AA12" s="1">
        <f>16394+27553</f>
        <v>43947</v>
      </c>
      <c r="AB12" s="1">
        <v>97514</v>
      </c>
      <c r="AC12" s="1">
        <v>24784</v>
      </c>
      <c r="AD12" s="21">
        <v>598</v>
      </c>
      <c r="AE12" s="1">
        <f>12183+23115</f>
        <v>35298</v>
      </c>
      <c r="AF12" s="1">
        <v>45968</v>
      </c>
      <c r="AG12" s="1">
        <v>26747</v>
      </c>
      <c r="AH12" s="1">
        <v>9029</v>
      </c>
      <c r="AI12" s="22">
        <v>61429</v>
      </c>
    </row>
    <row r="13" spans="1:35">
      <c r="A13" s="1" t="s">
        <v>54</v>
      </c>
      <c r="B13" s="21">
        <v>2000</v>
      </c>
      <c r="C13" s="16">
        <v>2555671953</v>
      </c>
      <c r="D13" s="16">
        <v>1693263300</v>
      </c>
      <c r="E13" s="16">
        <f>4426362646+20508200</f>
        <v>4446870846</v>
      </c>
      <c r="F13" s="16">
        <v>355016052</v>
      </c>
      <c r="G13" s="16">
        <v>391045526</v>
      </c>
      <c r="H13" s="16">
        <v>7258100</v>
      </c>
      <c r="I13" s="16">
        <v>101768600</v>
      </c>
      <c r="J13" s="16">
        <v>5915800</v>
      </c>
      <c r="K13" s="16">
        <v>795600</v>
      </c>
      <c r="L13" s="16">
        <v>0</v>
      </c>
      <c r="M13" s="15">
        <f>SUM(市税概要[[#This Row],[個人住民税]:[電気税]])</f>
        <v>9557605777</v>
      </c>
      <c r="N13" s="8">
        <f>市税概要[[#This Row],[税収]]-M12</f>
        <v>-69168163</v>
      </c>
      <c r="O13" s="3">
        <v>0.93910000000000005</v>
      </c>
      <c r="P13" s="1">
        <v>30016</v>
      </c>
      <c r="Q13" s="1">
        <v>92020618000</v>
      </c>
      <c r="R13" s="1">
        <f t="shared" si="0"/>
        <v>3065718.8832622604</v>
      </c>
      <c r="S13" s="1">
        <v>1584</v>
      </c>
      <c r="T13" s="1">
        <f>7437+101+8105</f>
        <v>15643</v>
      </c>
      <c r="U13" s="1">
        <v>13407</v>
      </c>
      <c r="V13" s="1">
        <v>11352</v>
      </c>
      <c r="W13" s="3">
        <v>0.82699999999999996</v>
      </c>
      <c r="X13" s="1">
        <v>20563</v>
      </c>
      <c r="Y13" s="1">
        <v>2913</v>
      </c>
      <c r="Z13" s="1">
        <v>5132</v>
      </c>
      <c r="AA13" s="1">
        <f>15790+28912</f>
        <v>44702</v>
      </c>
      <c r="AB13" s="1">
        <v>80520</v>
      </c>
      <c r="AC13" s="1">
        <v>24838</v>
      </c>
      <c r="AD13" s="21">
        <v>396</v>
      </c>
      <c r="AE13" s="1">
        <f>12161+22988</f>
        <v>35149</v>
      </c>
      <c r="AF13" s="1">
        <v>45948</v>
      </c>
      <c r="AG13" s="1">
        <v>26816</v>
      </c>
      <c r="AH13" s="1">
        <v>9240</v>
      </c>
      <c r="AI13" s="22">
        <v>61986</v>
      </c>
    </row>
    <row r="14" spans="1:35">
      <c r="A14" s="1" t="s">
        <v>55</v>
      </c>
      <c r="B14" s="21">
        <v>2001</v>
      </c>
      <c r="C14" s="16">
        <v>2639119861</v>
      </c>
      <c r="D14" s="16">
        <v>1500995523</v>
      </c>
      <c r="E14" s="16">
        <f>4566713218+20263700</f>
        <v>4586976918</v>
      </c>
      <c r="F14" s="16">
        <v>355481655</v>
      </c>
      <c r="G14" s="16">
        <v>402281044</v>
      </c>
      <c r="H14" s="16">
        <v>7840100</v>
      </c>
      <c r="I14" s="16">
        <v>103461900</v>
      </c>
      <c r="J14" s="16">
        <v>5563500</v>
      </c>
      <c r="K14" s="16">
        <v>650100</v>
      </c>
      <c r="L14" s="16">
        <v>0</v>
      </c>
      <c r="M14" s="15">
        <f>SUM(市税概要[[#This Row],[個人住民税]:[電気税]])</f>
        <v>9602370601</v>
      </c>
      <c r="N14" s="8">
        <f>市税概要[[#This Row],[税収]]-M13</f>
        <v>44764824</v>
      </c>
      <c r="O14" s="3">
        <v>0.93769999999999998</v>
      </c>
      <c r="P14" s="1">
        <v>30417</v>
      </c>
      <c r="Q14" s="1">
        <v>94176845000</v>
      </c>
      <c r="R14" s="1">
        <f t="shared" si="0"/>
        <v>3096191.1102344082</v>
      </c>
      <c r="S14" s="1">
        <v>1604</v>
      </c>
      <c r="T14" s="1">
        <f>7889+107+7893</f>
        <v>15889</v>
      </c>
      <c r="U14" s="1">
        <v>13468</v>
      </c>
      <c r="V14" s="1">
        <v>11465</v>
      </c>
      <c r="W14" s="3">
        <v>0.82699999999999996</v>
      </c>
      <c r="X14" s="1">
        <v>21031</v>
      </c>
      <c r="Y14" s="1">
        <v>2905</v>
      </c>
      <c r="Z14" s="1">
        <v>4978</v>
      </c>
      <c r="AA14" s="1">
        <f>14316+27546</f>
        <v>41862</v>
      </c>
      <c r="AB14" s="1">
        <v>66790</v>
      </c>
      <c r="AC14" s="1">
        <v>25145</v>
      </c>
      <c r="AD14" s="21">
        <v>417</v>
      </c>
      <c r="AE14" s="1">
        <f>12102+22855</f>
        <v>34957</v>
      </c>
      <c r="AF14" s="1">
        <v>45938</v>
      </c>
      <c r="AG14" s="1">
        <v>26798</v>
      </c>
      <c r="AH14" s="1">
        <v>9369</v>
      </c>
      <c r="AI14" s="22">
        <v>62520</v>
      </c>
    </row>
    <row r="15" spans="1:35">
      <c r="A15" s="1" t="s">
        <v>56</v>
      </c>
      <c r="B15" s="21">
        <v>2002</v>
      </c>
      <c r="C15" s="16">
        <v>2499249739</v>
      </c>
      <c r="D15" s="16">
        <v>814424212</v>
      </c>
      <c r="E15" s="16">
        <f>4668342707+21944000</f>
        <v>4690286707</v>
      </c>
      <c r="F15" s="16">
        <v>351393588</v>
      </c>
      <c r="G15" s="16">
        <v>406980473</v>
      </c>
      <c r="H15" s="16">
        <v>5168400</v>
      </c>
      <c r="I15" s="16">
        <v>107532130</v>
      </c>
      <c r="J15" s="16">
        <v>5137200</v>
      </c>
      <c r="K15" s="16">
        <v>508700</v>
      </c>
      <c r="L15" s="16">
        <v>0</v>
      </c>
      <c r="M15" s="15">
        <f>SUM(市税概要[[#This Row],[個人住民税]:[電気税]])</f>
        <v>8880681149</v>
      </c>
      <c r="N15" s="8">
        <f>市税概要[[#This Row],[税収]]-M14</f>
        <v>-721689452</v>
      </c>
      <c r="O15" s="3">
        <v>0.92720000000000002</v>
      </c>
      <c r="P15" s="1">
        <v>30277</v>
      </c>
      <c r="Q15" s="1">
        <v>91922814000</v>
      </c>
      <c r="R15" s="1">
        <f t="shared" si="0"/>
        <v>3036060.8382600653</v>
      </c>
      <c r="S15" s="1">
        <v>1573</v>
      </c>
      <c r="T15" s="1">
        <f>8579+120+7769</f>
        <v>16468</v>
      </c>
      <c r="U15" s="1">
        <v>13314</v>
      </c>
      <c r="V15" s="1">
        <v>11641</v>
      </c>
      <c r="W15" s="3">
        <v>0.82599999999999996</v>
      </c>
      <c r="X15" s="1">
        <v>21381</v>
      </c>
      <c r="Y15" s="1">
        <v>2897</v>
      </c>
      <c r="Z15" s="1">
        <v>4770</v>
      </c>
      <c r="AA15" s="1">
        <f>12717+25770</f>
        <v>38487</v>
      </c>
      <c r="AB15" s="1">
        <v>55553</v>
      </c>
      <c r="AC15" s="1">
        <v>25008</v>
      </c>
      <c r="AD15" s="21">
        <v>346</v>
      </c>
      <c r="AE15" s="1">
        <f>12068+22699</f>
        <v>34767</v>
      </c>
      <c r="AF15" s="1">
        <v>45984</v>
      </c>
      <c r="AG15" s="1">
        <v>26790</v>
      </c>
      <c r="AH15" s="1">
        <v>9548</v>
      </c>
      <c r="AI15" s="22">
        <v>63002</v>
      </c>
    </row>
    <row r="16" spans="1:35">
      <c r="A16" s="1" t="s">
        <v>57</v>
      </c>
      <c r="B16" s="21">
        <v>2003</v>
      </c>
      <c r="C16" s="16">
        <v>2336721417</v>
      </c>
      <c r="D16" s="16">
        <v>767965700</v>
      </c>
      <c r="E16" s="16">
        <f>4522007272+21999100</f>
        <v>4544006372</v>
      </c>
      <c r="F16" s="16">
        <v>366252504</v>
      </c>
      <c r="G16" s="16">
        <v>391128876</v>
      </c>
      <c r="H16" s="16">
        <v>0</v>
      </c>
      <c r="I16" s="16">
        <v>112024370</v>
      </c>
      <c r="J16" s="16">
        <v>5055600</v>
      </c>
      <c r="K16" s="16">
        <v>258600</v>
      </c>
      <c r="L16" s="16">
        <v>0</v>
      </c>
      <c r="M16" s="15">
        <f>SUM(市税概要[[#This Row],[個人住民税]:[電気税]])</f>
        <v>8523413439</v>
      </c>
      <c r="N16" s="8">
        <f>市税概要[[#This Row],[税収]]-M15</f>
        <v>-357267710</v>
      </c>
      <c r="O16" s="3">
        <v>0.92390000000000005</v>
      </c>
      <c r="P16" s="1">
        <v>29926</v>
      </c>
      <c r="Q16" s="1">
        <v>87480930000</v>
      </c>
      <c r="R16" s="1">
        <f t="shared" si="0"/>
        <v>2923241.6627681614</v>
      </c>
      <c r="S16" s="1">
        <v>1586</v>
      </c>
      <c r="T16" s="1">
        <v>17130</v>
      </c>
      <c r="U16" s="1">
        <v>12895</v>
      </c>
      <c r="V16" s="1">
        <v>11806</v>
      </c>
      <c r="W16" s="3">
        <v>0.82099999999999995</v>
      </c>
      <c r="X16" s="1">
        <v>21661</v>
      </c>
      <c r="Y16" s="1">
        <v>2918</v>
      </c>
      <c r="Z16" s="1">
        <v>4571</v>
      </c>
      <c r="AA16" s="1">
        <f>14811+23830</f>
        <v>38641</v>
      </c>
      <c r="AB16" s="1">
        <v>31821</v>
      </c>
      <c r="AC16" s="1">
        <v>24556</v>
      </c>
      <c r="AD16" s="21">
        <v>441</v>
      </c>
      <c r="AE16" s="1">
        <f>11946+22163</f>
        <v>34109</v>
      </c>
      <c r="AF16" s="1">
        <v>46081</v>
      </c>
      <c r="AG16" s="1">
        <v>26747</v>
      </c>
      <c r="AH16" s="1">
        <v>9642</v>
      </c>
      <c r="AI16" s="22">
        <v>63185</v>
      </c>
    </row>
    <row r="17" spans="1:35">
      <c r="A17" s="1" t="s">
        <v>58</v>
      </c>
      <c r="B17" s="21">
        <v>2004</v>
      </c>
      <c r="C17" s="16">
        <v>2255021760</v>
      </c>
      <c r="D17" s="16">
        <v>899795200</v>
      </c>
      <c r="E17" s="16">
        <f>4558069264+23772600</f>
        <v>4581841864</v>
      </c>
      <c r="F17" s="16">
        <v>367470011</v>
      </c>
      <c r="G17" s="16">
        <v>394106325</v>
      </c>
      <c r="H17" s="16">
        <v>0</v>
      </c>
      <c r="I17" s="16">
        <v>116663890</v>
      </c>
      <c r="J17" s="16">
        <v>4931000</v>
      </c>
      <c r="K17" s="16">
        <v>321400</v>
      </c>
      <c r="L17" s="16">
        <v>0</v>
      </c>
      <c r="M17" s="15">
        <f>SUM(市税概要[[#This Row],[個人住民税]:[電気税]])</f>
        <v>8620151450</v>
      </c>
      <c r="N17" s="8">
        <f>市税概要[[#This Row],[税収]]-M16</f>
        <v>96738011</v>
      </c>
      <c r="O17" s="3">
        <v>0.92520000000000002</v>
      </c>
      <c r="P17" s="1">
        <v>29941</v>
      </c>
      <c r="Q17" s="1">
        <v>86359771000</v>
      </c>
      <c r="R17" s="1">
        <f t="shared" si="0"/>
        <v>2884331.5520523698</v>
      </c>
      <c r="S17" s="1">
        <v>1587</v>
      </c>
      <c r="T17" s="1">
        <f>9909+129+7720</f>
        <v>17758</v>
      </c>
      <c r="U17" s="1">
        <v>12443</v>
      </c>
      <c r="V17" s="1">
        <v>11872</v>
      </c>
      <c r="W17" s="3">
        <v>0.82099999999999995</v>
      </c>
      <c r="X17" s="1">
        <v>22001</v>
      </c>
      <c r="Y17" s="1">
        <v>2911</v>
      </c>
      <c r="Z17" s="1">
        <v>4370</v>
      </c>
      <c r="AA17" s="1">
        <f>13961+23566</f>
        <v>37527</v>
      </c>
      <c r="AB17" s="1">
        <v>37603</v>
      </c>
      <c r="AC17" s="1">
        <v>24579</v>
      </c>
      <c r="AD17" s="21">
        <v>377</v>
      </c>
      <c r="AE17" s="1">
        <f>11928+22074</f>
        <v>34002</v>
      </c>
      <c r="AF17" s="1">
        <v>46093</v>
      </c>
      <c r="AG17" s="1">
        <v>26723</v>
      </c>
      <c r="AH17" s="1">
        <v>9733</v>
      </c>
      <c r="AI17" s="22">
        <v>63485</v>
      </c>
    </row>
    <row r="18" spans="1:35">
      <c r="A18" s="1" t="s">
        <v>59</v>
      </c>
      <c r="B18" s="21">
        <v>2005</v>
      </c>
      <c r="C18" s="16">
        <v>2488400864</v>
      </c>
      <c r="D18" s="16">
        <v>928138300</v>
      </c>
      <c r="E18" s="16">
        <f>4717569278+88540100</f>
        <v>4806109378</v>
      </c>
      <c r="F18" s="16">
        <v>373062948</v>
      </c>
      <c r="G18" s="16">
        <v>393616147</v>
      </c>
      <c r="H18" s="16">
        <v>0</v>
      </c>
      <c r="I18" s="16">
        <v>126864700</v>
      </c>
      <c r="J18" s="16">
        <v>4566400</v>
      </c>
      <c r="K18" s="16">
        <v>433700</v>
      </c>
      <c r="L18" s="16">
        <v>0</v>
      </c>
      <c r="M18" s="15">
        <f>SUM(市税概要[[#This Row],[個人住民税]:[電気税]])</f>
        <v>9121192437</v>
      </c>
      <c r="N18" s="8">
        <f>市税概要[[#This Row],[税収]]-M17</f>
        <v>501040987</v>
      </c>
      <c r="O18" s="3">
        <v>0.92689999999999995</v>
      </c>
      <c r="P18" s="1">
        <v>32196</v>
      </c>
      <c r="Q18" s="1">
        <v>91622651000</v>
      </c>
      <c r="R18" s="1">
        <f t="shared" si="0"/>
        <v>2845777.4568269351</v>
      </c>
      <c r="S18" s="1">
        <v>1680</v>
      </c>
      <c r="T18" s="1">
        <f>11148+143+7971</f>
        <v>19262</v>
      </c>
      <c r="U18" s="1">
        <v>12629</v>
      </c>
      <c r="V18" s="1">
        <v>11908</v>
      </c>
      <c r="W18" s="3">
        <v>0.82399999999999995</v>
      </c>
      <c r="X18" s="1">
        <v>23419</v>
      </c>
      <c r="Y18" s="1">
        <v>2896</v>
      </c>
      <c r="Z18" s="1">
        <v>4363</v>
      </c>
      <c r="AA18" s="1">
        <f>12151+22342</f>
        <v>34493</v>
      </c>
      <c r="AB18" s="1">
        <v>47142</v>
      </c>
      <c r="AC18" s="1">
        <v>26522</v>
      </c>
      <c r="AD18" s="21">
        <v>382</v>
      </c>
      <c r="AE18" s="1">
        <f>11902+22006</f>
        <v>33908</v>
      </c>
      <c r="AF18" s="1">
        <v>46076</v>
      </c>
      <c r="AG18" s="1">
        <v>26639</v>
      </c>
      <c r="AH18" s="1">
        <v>9833</v>
      </c>
      <c r="AI18" s="22">
        <v>66886</v>
      </c>
    </row>
    <row r="19" spans="1:35">
      <c r="A19" s="1" t="s">
        <v>60</v>
      </c>
      <c r="B19" s="21">
        <v>2006</v>
      </c>
      <c r="C19" s="16">
        <v>2652813134</v>
      </c>
      <c r="D19" s="16">
        <v>1066847559</v>
      </c>
      <c r="E19" s="16">
        <f>4442241273+89106900</f>
        <v>4531348173</v>
      </c>
      <c r="F19" s="16">
        <v>390266511</v>
      </c>
      <c r="G19" s="16">
        <v>367258475</v>
      </c>
      <c r="H19" s="16">
        <v>0</v>
      </c>
      <c r="I19" s="16">
        <v>131026200</v>
      </c>
      <c r="J19" s="16">
        <v>4320300</v>
      </c>
      <c r="K19" s="16">
        <v>422400</v>
      </c>
      <c r="L19" s="16">
        <v>0</v>
      </c>
      <c r="M19" s="15">
        <f>SUM(市税概要[[#This Row],[個人住民税]:[電気税]])</f>
        <v>9144302752</v>
      </c>
      <c r="N19" s="8">
        <f>市税概要[[#This Row],[税収]]-M18</f>
        <v>23110315</v>
      </c>
      <c r="O19" s="3">
        <v>0.92749999999999999</v>
      </c>
      <c r="P19" s="1">
        <v>34575</v>
      </c>
      <c r="Q19" s="1">
        <v>93656912000</v>
      </c>
      <c r="R19" s="1">
        <f t="shared" si="0"/>
        <v>2708804.3962400579</v>
      </c>
      <c r="S19" s="1">
        <v>1682</v>
      </c>
      <c r="T19" s="1">
        <f>11728+144+8011</f>
        <v>19883</v>
      </c>
      <c r="U19" s="1">
        <v>12323</v>
      </c>
      <c r="V19" s="1">
        <v>12545</v>
      </c>
      <c r="W19" s="3">
        <v>0.77900000000000003</v>
      </c>
      <c r="X19" s="1">
        <v>23719</v>
      </c>
      <c r="Y19" s="1">
        <v>2890</v>
      </c>
      <c r="Z19" s="1">
        <v>4209</v>
      </c>
      <c r="AA19" s="1">
        <f>12846+20238</f>
        <v>33084</v>
      </c>
      <c r="AB19" s="1">
        <v>45482</v>
      </c>
      <c r="AC19" s="1">
        <v>26918</v>
      </c>
      <c r="AD19" s="21">
        <v>369</v>
      </c>
      <c r="AE19" s="1">
        <f>11930+23400</f>
        <v>35330</v>
      </c>
      <c r="AF19" s="1">
        <v>52504</v>
      </c>
      <c r="AG19" s="1">
        <v>28316</v>
      </c>
      <c r="AH19" s="1">
        <v>10403</v>
      </c>
      <c r="AI19" s="22">
        <v>66829</v>
      </c>
    </row>
    <row r="20" spans="1:35">
      <c r="A20" s="1" t="s">
        <v>61</v>
      </c>
      <c r="B20" s="21">
        <v>2007</v>
      </c>
      <c r="C20" s="16">
        <v>3388520664</v>
      </c>
      <c r="D20" s="16">
        <v>987034425</v>
      </c>
      <c r="E20" s="16">
        <f>4661684410+77736700</f>
        <v>4739421110</v>
      </c>
      <c r="F20" s="16">
        <v>393174591</v>
      </c>
      <c r="G20" s="16">
        <v>386333139</v>
      </c>
      <c r="H20" s="16">
        <v>0</v>
      </c>
      <c r="I20" s="16">
        <v>137482500</v>
      </c>
      <c r="J20" s="16">
        <v>4619600</v>
      </c>
      <c r="K20" s="16">
        <v>349100</v>
      </c>
      <c r="L20" s="16">
        <v>0</v>
      </c>
      <c r="M20" s="15">
        <f>SUM(市税概要[[#This Row],[個人住民税]:[電気税]])</f>
        <v>10036935129</v>
      </c>
      <c r="N20" s="8">
        <f>市税概要[[#This Row],[税収]]-M19</f>
        <v>892632377</v>
      </c>
      <c r="O20" s="3">
        <v>0.94010000000000005</v>
      </c>
      <c r="P20" s="1">
        <v>35037</v>
      </c>
      <c r="Q20" s="1">
        <v>93909561000</v>
      </c>
      <c r="R20" s="1">
        <f t="shared" si="0"/>
        <v>2680296.857607672</v>
      </c>
      <c r="S20" s="1">
        <v>1680</v>
      </c>
      <c r="T20" s="1">
        <f>12562+155+8076</f>
        <v>20793</v>
      </c>
      <c r="U20" s="1">
        <v>12024</v>
      </c>
      <c r="V20" s="1">
        <v>12673</v>
      </c>
      <c r="W20" s="3">
        <v>0.77800000000000002</v>
      </c>
      <c r="X20" s="1">
        <v>23968</v>
      </c>
      <c r="Y20" s="1">
        <v>2853</v>
      </c>
      <c r="Z20" s="1">
        <v>4059</v>
      </c>
      <c r="AA20" s="1">
        <f>14696+21000</f>
        <v>35696</v>
      </c>
      <c r="AB20" s="1">
        <v>38875</v>
      </c>
      <c r="AC20" s="1">
        <v>27270</v>
      </c>
      <c r="AD20" s="21">
        <v>445</v>
      </c>
      <c r="AE20" s="1">
        <f>11914+23285</f>
        <v>35199</v>
      </c>
      <c r="AF20" s="1">
        <f>52503</f>
        <v>52503</v>
      </c>
      <c r="AG20" s="1">
        <v>28232</v>
      </c>
      <c r="AH20" s="1">
        <v>10576</v>
      </c>
      <c r="AI20" s="22">
        <v>66811</v>
      </c>
    </row>
    <row r="21" spans="1:35">
      <c r="A21" s="1" t="s">
        <v>62</v>
      </c>
      <c r="B21" s="21">
        <v>2008</v>
      </c>
      <c r="C21" s="16">
        <v>3531632448</v>
      </c>
      <c r="D21" s="16">
        <v>846074657</v>
      </c>
      <c r="E21" s="16">
        <f>4701090189+77440800</f>
        <v>4778530989</v>
      </c>
      <c r="F21" s="16">
        <v>361016253</v>
      </c>
      <c r="G21" s="16">
        <v>389868182</v>
      </c>
      <c r="H21" s="16">
        <v>0</v>
      </c>
      <c r="I21" s="16">
        <v>141292615</v>
      </c>
      <c r="J21" s="16">
        <v>3696600</v>
      </c>
      <c r="K21" s="16">
        <v>347500</v>
      </c>
      <c r="L21" s="16">
        <v>0</v>
      </c>
      <c r="M21" s="15">
        <f>SUM(市税概要[[#This Row],[個人住民税]:[電気税]])</f>
        <v>10052459244</v>
      </c>
      <c r="N21" s="8">
        <f>市税概要[[#This Row],[税収]]-M20</f>
        <v>15524115</v>
      </c>
      <c r="O21" s="3">
        <v>0.94120000000000004</v>
      </c>
      <c r="P21" s="1">
        <v>35176</v>
      </c>
      <c r="Q21" s="1">
        <v>93727229000</v>
      </c>
      <c r="R21" s="1">
        <f t="shared" si="0"/>
        <v>2664522.0889242664</v>
      </c>
      <c r="S21" s="1">
        <v>1708</v>
      </c>
      <c r="T21" s="1">
        <f>13186+190+8003</f>
        <v>21379</v>
      </c>
      <c r="U21" s="1">
        <v>11037</v>
      </c>
      <c r="V21" s="1">
        <v>12735</v>
      </c>
      <c r="W21" s="3">
        <v>0.77900000000000003</v>
      </c>
      <c r="X21" s="1">
        <v>24325</v>
      </c>
      <c r="Y21" s="1">
        <v>2839</v>
      </c>
      <c r="Z21" s="1">
        <v>3917</v>
      </c>
      <c r="AA21" s="1">
        <f>11868+16732</f>
        <v>28600</v>
      </c>
      <c r="AB21" s="1">
        <v>38162</v>
      </c>
      <c r="AC21" s="1">
        <v>27413</v>
      </c>
      <c r="AD21" s="21">
        <v>459</v>
      </c>
      <c r="AE21" s="1">
        <f>11894+23233</f>
        <v>35127</v>
      </c>
      <c r="AF21" s="1">
        <v>52468</v>
      </c>
      <c r="AG21" s="1">
        <v>28275</v>
      </c>
      <c r="AH21" s="1">
        <v>10594</v>
      </c>
      <c r="AI21" s="22">
        <v>66946</v>
      </c>
    </row>
    <row r="22" spans="1:35">
      <c r="A22" s="1" t="s">
        <v>63</v>
      </c>
      <c r="B22" s="21">
        <v>2009</v>
      </c>
      <c r="C22" s="16">
        <v>3473481331</v>
      </c>
      <c r="D22" s="16">
        <v>559583130</v>
      </c>
      <c r="E22" s="16">
        <f>4615084317+77113800</f>
        <v>4692198117</v>
      </c>
      <c r="F22" s="16">
        <v>341553168</v>
      </c>
      <c r="G22" s="16">
        <v>380535290</v>
      </c>
      <c r="H22" s="16">
        <v>0</v>
      </c>
      <c r="I22" s="16">
        <v>143939434</v>
      </c>
      <c r="J22" s="16">
        <v>3474550</v>
      </c>
      <c r="K22" s="16">
        <v>234400</v>
      </c>
      <c r="L22" s="16">
        <v>0</v>
      </c>
      <c r="M22" s="15">
        <f>SUM(市税概要[[#This Row],[個人住民税]:[電気税]])</f>
        <v>9594999420</v>
      </c>
      <c r="N22" s="8">
        <f>市税概要[[#This Row],[税収]]-M21</f>
        <v>-457459824</v>
      </c>
      <c r="O22" s="3">
        <v>0.93810000000000004</v>
      </c>
      <c r="P22" s="1">
        <v>34905</v>
      </c>
      <c r="Q22" s="1">
        <v>92085842000</v>
      </c>
      <c r="R22" s="1">
        <f t="shared" si="0"/>
        <v>2638184.8445781409</v>
      </c>
      <c r="S22" s="1">
        <v>1697</v>
      </c>
      <c r="T22" s="1">
        <f>13549+190+7775</f>
        <v>21514</v>
      </c>
      <c r="U22" s="1">
        <v>10442</v>
      </c>
      <c r="V22" s="1">
        <v>12788</v>
      </c>
      <c r="W22" s="3">
        <v>0.78300000000000003</v>
      </c>
      <c r="X22" s="1">
        <v>24564</v>
      </c>
      <c r="Y22" s="1">
        <v>2798</v>
      </c>
      <c r="Z22" s="1">
        <v>3776</v>
      </c>
      <c r="AA22" s="1">
        <f>11755+15327</f>
        <v>27082</v>
      </c>
      <c r="AB22" s="1">
        <v>26827</v>
      </c>
      <c r="AC22" s="1">
        <v>27316</v>
      </c>
      <c r="AD22" s="21">
        <v>370</v>
      </c>
      <c r="AE22" s="1">
        <f>11888+23185</f>
        <v>35073</v>
      </c>
      <c r="AF22" s="1">
        <v>52451</v>
      </c>
      <c r="AG22" s="1">
        <v>28215</v>
      </c>
      <c r="AH22" s="1">
        <v>10634</v>
      </c>
      <c r="AI22" s="22">
        <v>66983</v>
      </c>
    </row>
    <row r="23" spans="1:35">
      <c r="A23" s="1" t="s">
        <v>64</v>
      </c>
      <c r="B23" s="21">
        <v>2010</v>
      </c>
      <c r="C23" s="16">
        <v>3095719952</v>
      </c>
      <c r="D23" s="16">
        <v>762030952</v>
      </c>
      <c r="E23" s="16">
        <f>4538980869+75557000</f>
        <v>4614537869</v>
      </c>
      <c r="F23" s="16">
        <v>355380810</v>
      </c>
      <c r="G23" s="16">
        <v>380359113</v>
      </c>
      <c r="H23" s="16">
        <v>0</v>
      </c>
      <c r="I23" s="16">
        <v>149177139</v>
      </c>
      <c r="J23" s="16">
        <v>3350800</v>
      </c>
      <c r="K23" s="16">
        <v>215900</v>
      </c>
      <c r="L23" s="16">
        <v>0</v>
      </c>
      <c r="M23" s="15">
        <f>SUM(市税概要[[#This Row],[個人住民税]:[電気税]])</f>
        <v>9360772535</v>
      </c>
      <c r="N23" s="8">
        <f>市税概要[[#This Row],[税収]]-M22</f>
        <v>-234226885</v>
      </c>
      <c r="O23" s="3">
        <v>0.94059999999999999</v>
      </c>
      <c r="P23" s="1">
        <v>33765</v>
      </c>
      <c r="Q23" s="1">
        <v>82920836000</v>
      </c>
      <c r="R23" s="1">
        <f t="shared" si="0"/>
        <v>2455822.1827336</v>
      </c>
      <c r="S23" s="1">
        <v>1697</v>
      </c>
      <c r="T23" s="1">
        <f>14223+196+7732</f>
        <v>22151</v>
      </c>
      <c r="U23" s="1">
        <v>10203</v>
      </c>
      <c r="V23" s="1">
        <v>12833</v>
      </c>
      <c r="W23" s="3">
        <v>0.77600000000000002</v>
      </c>
      <c r="X23" s="1">
        <v>24848</v>
      </c>
      <c r="Y23" s="1">
        <v>2756</v>
      </c>
      <c r="Z23" s="1">
        <v>3594</v>
      </c>
      <c r="AA23" s="1">
        <f>11473+14690</f>
        <v>26163</v>
      </c>
      <c r="AB23" s="1">
        <v>25958</v>
      </c>
      <c r="AC23" s="1">
        <v>26211</v>
      </c>
      <c r="AD23" s="21">
        <v>269</v>
      </c>
      <c r="AE23" s="1">
        <f>11870+22680</f>
        <v>34550</v>
      </c>
      <c r="AF23" s="1">
        <v>50463</v>
      </c>
      <c r="AG23" s="1">
        <v>28187</v>
      </c>
      <c r="AH23" s="1">
        <v>10680</v>
      </c>
      <c r="AI23" s="22">
        <v>67140</v>
      </c>
    </row>
    <row r="24" spans="1:35">
      <c r="A24" s="1" t="s">
        <v>65</v>
      </c>
      <c r="B24" s="21">
        <v>2011</v>
      </c>
      <c r="C24" s="16">
        <v>3142018194</v>
      </c>
      <c r="D24" s="16">
        <v>941598136</v>
      </c>
      <c r="E24" s="16">
        <f>4462285567+78087000</f>
        <v>4540372567</v>
      </c>
      <c r="F24" s="16">
        <v>414777509</v>
      </c>
      <c r="G24" s="16">
        <v>376908311</v>
      </c>
      <c r="H24" s="16">
        <v>0</v>
      </c>
      <c r="I24" s="16">
        <v>150480993</v>
      </c>
      <c r="J24" s="16">
        <v>3241900</v>
      </c>
      <c r="K24" s="16">
        <v>240500</v>
      </c>
      <c r="L24" s="16">
        <v>0</v>
      </c>
      <c r="M24" s="15">
        <f>SUM(市税概要[[#This Row],[個人住民税]:[電気税]])</f>
        <v>9569638110</v>
      </c>
      <c r="N24" s="8">
        <f>市税概要[[#This Row],[税収]]-M23</f>
        <v>208865575</v>
      </c>
      <c r="O24" s="3">
        <v>0.94599999999999995</v>
      </c>
      <c r="P24" s="1">
        <v>33945</v>
      </c>
      <c r="Q24" s="1">
        <v>85674929000</v>
      </c>
      <c r="R24" s="1">
        <f t="shared" si="0"/>
        <v>2523933.6868463689</v>
      </c>
      <c r="S24" s="1">
        <v>1664</v>
      </c>
      <c r="T24" s="1">
        <v>22208</v>
      </c>
      <c r="U24" s="1">
        <v>9143</v>
      </c>
      <c r="V24" s="1">
        <v>12910</v>
      </c>
      <c r="W24" s="3">
        <v>0.77300000000000002</v>
      </c>
      <c r="X24" s="1">
        <v>25054</v>
      </c>
      <c r="Y24" s="1">
        <v>2738</v>
      </c>
      <c r="Z24" s="1">
        <v>3376</v>
      </c>
      <c r="AA24" s="1">
        <f>10972+14298</f>
        <v>25270</v>
      </c>
      <c r="AB24" s="1">
        <v>28002</v>
      </c>
      <c r="AC24" s="1">
        <v>26239</v>
      </c>
      <c r="AD24" s="21">
        <v>361</v>
      </c>
      <c r="AE24" s="1">
        <f>11852+22598</f>
        <v>34450</v>
      </c>
      <c r="AF24" s="1">
        <v>50292</v>
      </c>
      <c r="AG24" s="1">
        <v>28177</v>
      </c>
      <c r="AH24" s="1">
        <v>10878</v>
      </c>
      <c r="AI24" s="22">
        <v>67061</v>
      </c>
    </row>
    <row r="25" spans="1:35">
      <c r="A25" s="1" t="s">
        <v>66</v>
      </c>
      <c r="B25" s="21">
        <v>2012</v>
      </c>
      <c r="C25" s="16">
        <v>3318354533</v>
      </c>
      <c r="D25" s="16">
        <v>685719897</v>
      </c>
      <c r="E25" s="16">
        <f>4233935770+77999900</f>
        <v>4311935670</v>
      </c>
      <c r="F25" s="16">
        <v>406178222</v>
      </c>
      <c r="G25" s="16">
        <v>357928872</v>
      </c>
      <c r="H25" s="16">
        <v>0</v>
      </c>
      <c r="I25" s="16">
        <v>152462306</v>
      </c>
      <c r="J25" s="16">
        <v>3366650</v>
      </c>
      <c r="K25" s="16">
        <v>179300</v>
      </c>
      <c r="L25" s="16">
        <v>0</v>
      </c>
      <c r="M25" s="15">
        <f>SUM(市税概要[[#This Row],[個人住民税]:[電気税]])</f>
        <v>9236125450</v>
      </c>
      <c r="N25" s="8">
        <f>市税概要[[#This Row],[税収]]-M24</f>
        <v>-333512660</v>
      </c>
      <c r="O25" s="3">
        <v>0.94979999999999998</v>
      </c>
      <c r="P25" s="1">
        <v>34097</v>
      </c>
      <c r="Q25" s="1">
        <v>86543642000</v>
      </c>
      <c r="R25" s="1">
        <f t="shared" si="0"/>
        <v>2538160.0140774846</v>
      </c>
      <c r="S25" s="1">
        <v>1761</v>
      </c>
      <c r="T25" s="1">
        <v>22640</v>
      </c>
      <c r="U25" s="1">
        <v>8972</v>
      </c>
      <c r="V25" s="1">
        <v>12998</v>
      </c>
      <c r="W25" s="3">
        <v>0.77200000000000002</v>
      </c>
      <c r="X25" s="1">
        <v>25286</v>
      </c>
      <c r="Y25" s="1">
        <v>2731</v>
      </c>
      <c r="Z25" s="1">
        <v>3217</v>
      </c>
      <c r="AA25" s="1">
        <f>10778+15259</f>
        <v>26037</v>
      </c>
      <c r="AB25" s="1">
        <v>22681</v>
      </c>
      <c r="AC25" s="1">
        <v>26313</v>
      </c>
      <c r="AD25" s="21">
        <v>336</v>
      </c>
      <c r="AE25" s="1">
        <f>11835+22520</f>
        <v>34355</v>
      </c>
      <c r="AF25" s="1">
        <v>49944</v>
      </c>
      <c r="AG25" s="1">
        <v>28215</v>
      </c>
      <c r="AH25" s="1">
        <v>11115</v>
      </c>
      <c r="AI25" s="22">
        <v>67023</v>
      </c>
    </row>
    <row r="26" spans="1:35">
      <c r="A26" s="1" t="s">
        <v>67</v>
      </c>
      <c r="B26" s="21">
        <v>2013</v>
      </c>
      <c r="C26" s="16">
        <v>3251394936</v>
      </c>
      <c r="D26" s="16">
        <v>778175426</v>
      </c>
      <c r="E26" s="16">
        <f>4266689571+73556200</f>
        <v>4340245771</v>
      </c>
      <c r="F26" s="16">
        <v>465753858</v>
      </c>
      <c r="G26" s="16">
        <v>361212509</v>
      </c>
      <c r="H26" s="16">
        <v>0</v>
      </c>
      <c r="I26" s="16">
        <v>155517291</v>
      </c>
      <c r="J26" s="16">
        <v>3294100</v>
      </c>
      <c r="K26" s="16">
        <v>172900</v>
      </c>
      <c r="L26" s="16">
        <v>0</v>
      </c>
      <c r="M26" s="15">
        <f>SUM(市税概要[[#This Row],[個人住民税]:[電気税]])</f>
        <v>9355766791</v>
      </c>
      <c r="N26" s="8">
        <f>市税概要[[#This Row],[税収]]-M25</f>
        <v>119641341</v>
      </c>
      <c r="O26" s="3">
        <v>0.95350000000000001</v>
      </c>
      <c r="P26" s="1">
        <v>34244</v>
      </c>
      <c r="Q26" s="1">
        <v>83612463000</v>
      </c>
      <c r="R26" s="1">
        <f t="shared" si="0"/>
        <v>2441667.5329984813</v>
      </c>
      <c r="S26" s="1">
        <v>1841</v>
      </c>
      <c r="T26" s="1">
        <v>23079</v>
      </c>
      <c r="U26" s="1">
        <v>9126</v>
      </c>
      <c r="V26" s="1">
        <v>13033</v>
      </c>
      <c r="W26" s="3">
        <v>0.76800000000000002</v>
      </c>
      <c r="X26" s="1">
        <v>26046</v>
      </c>
      <c r="Y26" s="1">
        <v>2759</v>
      </c>
      <c r="Z26" s="1">
        <v>3119</v>
      </c>
      <c r="AA26" s="1">
        <f>9709+15488</f>
        <v>25197</v>
      </c>
      <c r="AB26" s="1">
        <v>22087</v>
      </c>
      <c r="AC26" s="1">
        <v>26298</v>
      </c>
      <c r="AD26" s="21">
        <v>325</v>
      </c>
      <c r="AE26" s="1">
        <f>11798+22461</f>
        <v>34259</v>
      </c>
      <c r="AF26" s="1">
        <v>49934</v>
      </c>
      <c r="AG26" s="1">
        <v>28349</v>
      </c>
      <c r="AH26" s="1">
        <v>11753</v>
      </c>
      <c r="AI26" s="22">
        <v>67995</v>
      </c>
    </row>
    <row r="27" spans="1:35">
      <c r="A27" s="1" t="s">
        <v>68</v>
      </c>
      <c r="B27" s="21">
        <v>2014</v>
      </c>
      <c r="C27" s="16">
        <v>3284382057</v>
      </c>
      <c r="D27" s="16">
        <v>1676842646</v>
      </c>
      <c r="E27" s="16">
        <f>4274142129+73203500</f>
        <v>4347345629</v>
      </c>
      <c r="F27" s="16">
        <v>454516701</v>
      </c>
      <c r="G27" s="16">
        <v>365894023</v>
      </c>
      <c r="H27" s="16">
        <v>0</v>
      </c>
      <c r="I27" s="16">
        <v>160520126</v>
      </c>
      <c r="J27" s="16">
        <v>2972250</v>
      </c>
      <c r="K27" s="16">
        <v>263600</v>
      </c>
      <c r="L27" s="16">
        <v>0</v>
      </c>
      <c r="M27" s="15">
        <f>SUM(市税概要[[#This Row],[個人住民税]:[電気税]])</f>
        <v>10292737032</v>
      </c>
      <c r="N27" s="8">
        <f>市税概要[[#This Row],[税収]]-M26</f>
        <v>936970241</v>
      </c>
      <c r="O27" s="3">
        <v>0.96189999999999998</v>
      </c>
      <c r="P27" s="1">
        <v>34226</v>
      </c>
      <c r="Q27" s="1">
        <v>84858685000</v>
      </c>
      <c r="R27" s="1">
        <f t="shared" si="0"/>
        <v>2479363.2034126101</v>
      </c>
      <c r="S27" s="1">
        <v>2056</v>
      </c>
      <c r="T27" s="1">
        <v>23747</v>
      </c>
      <c r="U27" s="1">
        <v>8896</v>
      </c>
      <c r="V27" s="1">
        <v>13065</v>
      </c>
      <c r="W27" s="3">
        <v>0.76300000000000001</v>
      </c>
      <c r="X27" s="1">
        <v>26295</v>
      </c>
      <c r="Y27" s="1">
        <v>2751</v>
      </c>
      <c r="Z27" s="1">
        <v>2993</v>
      </c>
      <c r="AA27" s="1">
        <f>8616+14071</f>
        <v>22687</v>
      </c>
      <c r="AB27" s="1">
        <v>29385</v>
      </c>
      <c r="AC27" s="1">
        <v>26107</v>
      </c>
      <c r="AD27" s="21">
        <v>341</v>
      </c>
      <c r="AE27" s="1">
        <f>11783+22407</f>
        <v>34190</v>
      </c>
      <c r="AF27" s="1">
        <v>49599</v>
      </c>
      <c r="AG27" s="1">
        <v>28342</v>
      </c>
      <c r="AH27" s="1">
        <v>11856</v>
      </c>
      <c r="AI27" s="22">
        <v>67737</v>
      </c>
    </row>
    <row r="28" spans="1:35">
      <c r="A28" s="1" t="s">
        <v>69</v>
      </c>
      <c r="B28" s="21">
        <v>2015</v>
      </c>
      <c r="C28" s="16">
        <v>3409421034</v>
      </c>
      <c r="D28" s="16">
        <v>1026525416</v>
      </c>
      <c r="E28" s="16">
        <f>4187641894+75047000</f>
        <v>4262688894</v>
      </c>
      <c r="F28" s="16">
        <v>450923991</v>
      </c>
      <c r="G28" s="16">
        <v>359507892</v>
      </c>
      <c r="H28" s="16">
        <v>18969900</v>
      </c>
      <c r="I28" s="16">
        <v>165780498</v>
      </c>
      <c r="J28" s="16">
        <v>2730350</v>
      </c>
      <c r="K28" s="16">
        <v>220500</v>
      </c>
      <c r="L28" s="16">
        <v>0</v>
      </c>
      <c r="M28" s="15">
        <f>SUM(市税概要[[#This Row],[個人住民税]:[電気税]])</f>
        <v>9696768475</v>
      </c>
      <c r="N28" s="8">
        <f>市税概要[[#This Row],[税収]]-M27</f>
        <v>-595968557</v>
      </c>
      <c r="O28" s="3">
        <v>0.96509999999999996</v>
      </c>
      <c r="P28" s="1">
        <v>34189</v>
      </c>
      <c r="Q28" s="1">
        <v>88378614000</v>
      </c>
      <c r="R28" s="1">
        <f t="shared" si="0"/>
        <v>2585001.4332095119</v>
      </c>
      <c r="S28" s="1">
        <v>1972</v>
      </c>
      <c r="T28" s="1">
        <v>24365</v>
      </c>
      <c r="U28" s="1">
        <v>8802</v>
      </c>
      <c r="V28" s="1">
        <v>13018</v>
      </c>
      <c r="W28" s="3">
        <v>0.76800000000000002</v>
      </c>
      <c r="X28" s="1">
        <v>26467</v>
      </c>
      <c r="Y28" s="1">
        <v>2746</v>
      </c>
      <c r="Z28" s="1">
        <v>2870</v>
      </c>
      <c r="AA28" s="1">
        <f>8804+12333</f>
        <v>21137</v>
      </c>
      <c r="AB28" s="1">
        <v>27464</v>
      </c>
      <c r="AC28" s="1">
        <v>26249</v>
      </c>
      <c r="AD28" s="21">
        <v>364</v>
      </c>
      <c r="AE28" s="1">
        <f>11681+22448</f>
        <v>34129</v>
      </c>
      <c r="AF28" s="1">
        <v>49472</v>
      </c>
      <c r="AG28" s="1">
        <v>28317</v>
      </c>
      <c r="AH28" s="1">
        <v>11960</v>
      </c>
      <c r="AI28" s="22">
        <v>67490</v>
      </c>
    </row>
    <row r="29" spans="1:35">
      <c r="A29" s="1" t="s">
        <v>70</v>
      </c>
      <c r="B29" s="21">
        <v>2016</v>
      </c>
      <c r="C29" s="16">
        <v>3510604308</v>
      </c>
      <c r="D29" s="16">
        <v>940834443</v>
      </c>
      <c r="E29" s="16">
        <f>4344578472+65980400</f>
        <v>4410558872</v>
      </c>
      <c r="F29" s="16">
        <v>434180959</v>
      </c>
      <c r="G29" s="16">
        <v>363687050</v>
      </c>
      <c r="H29" s="16">
        <v>0</v>
      </c>
      <c r="I29" s="16">
        <v>195756312</v>
      </c>
      <c r="J29" s="16">
        <v>2047350</v>
      </c>
      <c r="K29" s="16">
        <v>258200</v>
      </c>
      <c r="L29" s="16">
        <v>0</v>
      </c>
      <c r="M29" s="15">
        <f>SUM(市税概要[[#This Row],[個人住民税]:[電気税]])</f>
        <v>9857927494</v>
      </c>
      <c r="N29" s="8">
        <f>市税概要[[#This Row],[税収]]-M28</f>
        <v>161159019</v>
      </c>
      <c r="O29" s="3">
        <v>0.96730000000000005</v>
      </c>
      <c r="P29" s="1">
        <v>34657</v>
      </c>
      <c r="Q29" s="1">
        <v>91069764000</v>
      </c>
      <c r="R29" s="1">
        <f t="shared" si="0"/>
        <v>2627745.1597079956</v>
      </c>
      <c r="S29" s="1">
        <v>1909</v>
      </c>
      <c r="T29" s="1">
        <v>24546</v>
      </c>
      <c r="U29" s="1">
        <v>8445</v>
      </c>
      <c r="V29" s="1">
        <v>13058</v>
      </c>
      <c r="W29" s="3">
        <v>0.76500000000000001</v>
      </c>
      <c r="X29" s="1">
        <v>26740</v>
      </c>
      <c r="Y29" s="1">
        <v>2730</v>
      </c>
      <c r="Z29" s="1">
        <v>2688</v>
      </c>
      <c r="AA29" s="1">
        <f>6690+9189</f>
        <v>15879</v>
      </c>
      <c r="AB29" s="1">
        <v>29933</v>
      </c>
      <c r="AC29" s="1">
        <v>26524</v>
      </c>
      <c r="AD29" s="21">
        <v>406</v>
      </c>
      <c r="AE29" s="1">
        <f>11542+22440</f>
        <v>33982</v>
      </c>
      <c r="AF29" s="1">
        <v>49469</v>
      </c>
      <c r="AG29" s="1">
        <v>28328</v>
      </c>
      <c r="AH29" s="1">
        <v>12244</v>
      </c>
      <c r="AI29" s="22">
        <v>67447</v>
      </c>
    </row>
    <row r="30" spans="1:35">
      <c r="A30" s="1" t="s">
        <v>71</v>
      </c>
      <c r="B30" s="21">
        <v>2017</v>
      </c>
      <c r="C30" s="16">
        <v>3565134576</v>
      </c>
      <c r="D30" s="16">
        <v>675526031</v>
      </c>
      <c r="E30" s="16">
        <f>4406374846+65673500</f>
        <v>4472048346</v>
      </c>
      <c r="F30" s="16">
        <v>415175640</v>
      </c>
      <c r="G30" s="16">
        <v>369044785</v>
      </c>
      <c r="H30" s="16">
        <v>0</v>
      </c>
      <c r="I30" s="16">
        <v>205467539</v>
      </c>
      <c r="J30" s="16">
        <v>2052600</v>
      </c>
      <c r="K30" s="16">
        <v>248300</v>
      </c>
      <c r="L30" s="16">
        <v>0</v>
      </c>
      <c r="M30" s="15">
        <f>SUM(市税概要[[#This Row],[個人住民税]:[電気税]])</f>
        <v>9704697817</v>
      </c>
      <c r="N30" s="8">
        <f>市税概要[[#This Row],[税収]]-M29</f>
        <v>-153229677</v>
      </c>
      <c r="O30" s="3">
        <v>0.96930000000000005</v>
      </c>
      <c r="P30" s="1">
        <v>35090</v>
      </c>
      <c r="Q30" s="1">
        <v>92753093000</v>
      </c>
      <c r="R30" s="1">
        <f t="shared" si="0"/>
        <v>2643291.3365631234</v>
      </c>
      <c r="S30" s="1">
        <v>1858</v>
      </c>
      <c r="T30" s="1">
        <v>24780</v>
      </c>
      <c r="U30" s="1">
        <v>7993</v>
      </c>
      <c r="V30" s="1">
        <v>13116</v>
      </c>
      <c r="W30" s="3">
        <v>0.76700000000000002</v>
      </c>
      <c r="X30" s="1">
        <v>27120</v>
      </c>
      <c r="Y30" s="1">
        <v>2749</v>
      </c>
      <c r="Z30" s="1">
        <v>2520</v>
      </c>
      <c r="AA30" s="1">
        <f>7119+8938</f>
        <v>16057</v>
      </c>
      <c r="AB30" s="1">
        <v>30760</v>
      </c>
      <c r="AC30" s="1">
        <v>26920</v>
      </c>
      <c r="AD30" s="21">
        <v>407</v>
      </c>
      <c r="AE30" s="1">
        <f>11275+22558</f>
        <v>33833</v>
      </c>
      <c r="AF30" s="1">
        <v>49399</v>
      </c>
      <c r="AG30" s="1">
        <v>28383</v>
      </c>
      <c r="AH30" s="1">
        <v>12616</v>
      </c>
      <c r="AI30" s="22">
        <v>67476</v>
      </c>
    </row>
    <row r="31" spans="1:35">
      <c r="A31" s="1" t="s">
        <v>72</v>
      </c>
      <c r="B31" s="21">
        <v>2018</v>
      </c>
      <c r="C31" s="16">
        <v>3552505004</v>
      </c>
      <c r="D31" s="16">
        <v>711535251</v>
      </c>
      <c r="E31" s="16">
        <f>4395090626+64491300</f>
        <v>4459581926</v>
      </c>
      <c r="F31" s="16">
        <v>392064515</v>
      </c>
      <c r="G31" s="16">
        <v>368190044</v>
      </c>
      <c r="H31" s="16">
        <v>0</v>
      </c>
      <c r="I31" s="16">
        <v>213850376</v>
      </c>
      <c r="J31" s="16">
        <v>576250</v>
      </c>
      <c r="K31" s="16">
        <v>242000</v>
      </c>
      <c r="L31" s="16">
        <v>0</v>
      </c>
      <c r="M31" s="15">
        <f>SUM(市税概要[[#This Row],[個人住民税]:[電気税]])</f>
        <v>9698545366</v>
      </c>
      <c r="N31" s="8">
        <f>市税概要[[#This Row],[税収]]-M30</f>
        <v>-6152451</v>
      </c>
      <c r="O31" s="3">
        <v>0.97099999999999997</v>
      </c>
      <c r="P31" s="1">
        <v>35462</v>
      </c>
      <c r="Q31" s="1">
        <v>93317745000</v>
      </c>
      <c r="R31" s="1">
        <f t="shared" si="0"/>
        <v>2631485.6748068356</v>
      </c>
      <c r="S31" s="1">
        <v>1884</v>
      </c>
      <c r="T31" s="1">
        <v>25073</v>
      </c>
      <c r="U31" s="1">
        <v>7261</v>
      </c>
      <c r="V31" s="1">
        <v>13150</v>
      </c>
      <c r="W31" s="3">
        <v>0.76900000000000002</v>
      </c>
      <c r="X31" s="1">
        <v>27400</v>
      </c>
      <c r="Y31" s="1">
        <v>2751</v>
      </c>
      <c r="Z31" s="1">
        <v>2358</v>
      </c>
      <c r="AA31" s="1">
        <f>1648+2743</f>
        <v>4391</v>
      </c>
      <c r="AB31" s="1">
        <v>30527</v>
      </c>
      <c r="AC31" s="1">
        <v>27257</v>
      </c>
      <c r="AD31" s="21">
        <v>340</v>
      </c>
      <c r="AE31" s="1">
        <f>11193+22398</f>
        <v>33591</v>
      </c>
      <c r="AF31" s="1">
        <v>50721</v>
      </c>
      <c r="AG31" s="1">
        <v>28335</v>
      </c>
      <c r="AH31" s="1">
        <v>12758</v>
      </c>
      <c r="AI31" s="22">
        <v>67449</v>
      </c>
    </row>
    <row r="32" spans="1:35">
      <c r="A32" s="1" t="s">
        <v>73</v>
      </c>
      <c r="B32" s="21">
        <v>2019</v>
      </c>
      <c r="C32" s="16">
        <v>3707790806</v>
      </c>
      <c r="D32" s="16">
        <v>638467737</v>
      </c>
      <c r="E32" s="16">
        <f>4691316119+63047500</f>
        <v>4754363619</v>
      </c>
      <c r="F32" s="16">
        <v>394606969</v>
      </c>
      <c r="G32" s="16">
        <v>386356525</v>
      </c>
      <c r="H32" s="16">
        <v>0</v>
      </c>
      <c r="I32" s="16">
        <f>2325200+222042160</f>
        <v>224367360</v>
      </c>
      <c r="J32" s="16">
        <v>736200</v>
      </c>
      <c r="K32" s="16">
        <v>184400</v>
      </c>
      <c r="L32" s="16">
        <v>0</v>
      </c>
      <c r="M32" s="15">
        <f>SUM(市税概要[[#This Row],[個人住民税]:[電気税]])</f>
        <v>10106873616</v>
      </c>
      <c r="N32" s="8">
        <f>市税概要[[#This Row],[税収]]-M31</f>
        <v>408328250</v>
      </c>
      <c r="O32" s="3">
        <v>0.97899999999999998</v>
      </c>
      <c r="P32" s="1">
        <v>35953</v>
      </c>
      <c r="Q32" s="1">
        <v>95618249000</v>
      </c>
      <c r="R32" s="1">
        <f t="shared" si="0"/>
        <v>2659534.6424498651</v>
      </c>
      <c r="S32" s="1">
        <v>1902</v>
      </c>
      <c r="T32" s="1">
        <v>25380</v>
      </c>
      <c r="U32" s="1">
        <v>6964</v>
      </c>
      <c r="V32" s="1">
        <v>13191</v>
      </c>
      <c r="W32" s="3">
        <v>0.77</v>
      </c>
      <c r="X32" s="1">
        <v>27738</v>
      </c>
      <c r="Y32" s="1">
        <v>2764</v>
      </c>
      <c r="Z32" s="1">
        <v>2253</v>
      </c>
      <c r="AA32" s="1">
        <f>891+4314</f>
        <v>5205</v>
      </c>
      <c r="AB32" s="1">
        <v>25299</v>
      </c>
      <c r="AC32" s="1">
        <v>27681</v>
      </c>
      <c r="AD32" s="21">
        <v>348</v>
      </c>
      <c r="AE32" s="1">
        <f>11134+22312</f>
        <v>33446</v>
      </c>
      <c r="AF32" s="1">
        <v>50261</v>
      </c>
      <c r="AG32" s="1">
        <v>28314</v>
      </c>
      <c r="AH32" s="1">
        <v>12841</v>
      </c>
      <c r="AI32" s="22">
        <v>67139</v>
      </c>
    </row>
    <row r="33" spans="1:35">
      <c r="A33" s="1" t="s">
        <v>74</v>
      </c>
      <c r="B33" s="21">
        <v>2020</v>
      </c>
      <c r="C33" s="16">
        <v>3696341429</v>
      </c>
      <c r="D33" s="16">
        <v>566408698</v>
      </c>
      <c r="E33" s="16">
        <f>4833342538+62297800</f>
        <v>4895640338</v>
      </c>
      <c r="F33" s="16">
        <v>372639064</v>
      </c>
      <c r="G33" s="16">
        <v>391839016</v>
      </c>
      <c r="H33" s="16">
        <v>0</v>
      </c>
      <c r="I33" s="16">
        <f>10204800+227884799</f>
        <v>238089599</v>
      </c>
      <c r="J33" s="16">
        <v>63450</v>
      </c>
      <c r="K33" s="16">
        <v>162300</v>
      </c>
      <c r="L33" s="16">
        <v>0</v>
      </c>
      <c r="M33" s="15">
        <f>SUM(市税概要[[#This Row],[個人住民税]:[電気税]])</f>
        <v>10161183894</v>
      </c>
      <c r="N33" s="8">
        <f>市税概要[[#This Row],[税収]]-M32</f>
        <v>54310278</v>
      </c>
      <c r="O33" s="3">
        <v>0.98109999999999997</v>
      </c>
      <c r="P33" s="1">
        <v>36253</v>
      </c>
      <c r="Q33" s="1">
        <v>96451201000</v>
      </c>
      <c r="R33" s="1">
        <f t="shared" si="0"/>
        <v>2660502.6066808263</v>
      </c>
      <c r="S33" s="1">
        <v>1924</v>
      </c>
      <c r="T33" s="1">
        <v>25365</v>
      </c>
      <c r="U33" s="1">
        <v>6343</v>
      </c>
      <c r="V33" s="1">
        <v>13218</v>
      </c>
      <c r="W33" s="3">
        <v>0.77500000000000002</v>
      </c>
      <c r="X33" s="1">
        <v>28000</v>
      </c>
      <c r="Y33" s="1">
        <v>2774</v>
      </c>
      <c r="Z33" s="1">
        <v>2134</v>
      </c>
      <c r="AA33" s="1">
        <f>246+259</f>
        <v>505</v>
      </c>
      <c r="AB33" s="1">
        <v>19327</v>
      </c>
      <c r="AC33" s="1">
        <v>28085</v>
      </c>
      <c r="AD33" s="21">
        <v>322</v>
      </c>
      <c r="AE33" s="1">
        <f>11088+22324</f>
        <v>33412</v>
      </c>
      <c r="AF33" s="1">
        <v>50209</v>
      </c>
      <c r="AG33" s="1">
        <v>28329</v>
      </c>
      <c r="AH33" s="1">
        <v>13064</v>
      </c>
      <c r="AI33" s="22">
        <v>66855</v>
      </c>
    </row>
    <row r="34" spans="1:35">
      <c r="A34" s="1" t="s">
        <v>75</v>
      </c>
      <c r="B34" s="21">
        <v>2021</v>
      </c>
      <c r="C34" s="16">
        <v>3564338103</v>
      </c>
      <c r="D34" s="16">
        <v>607647567</v>
      </c>
      <c r="E34" s="16">
        <f>4677478074+61858100</f>
        <v>4739336174</v>
      </c>
      <c r="F34" s="16">
        <v>397020892</v>
      </c>
      <c r="G34" s="16">
        <v>382959965</v>
      </c>
      <c r="H34" s="16">
        <v>0</v>
      </c>
      <c r="I34" s="16">
        <f>10770500+235659408</f>
        <v>246429908</v>
      </c>
      <c r="J34" s="16">
        <v>55350</v>
      </c>
      <c r="K34" s="16">
        <v>145500</v>
      </c>
      <c r="L34" s="16">
        <v>0</v>
      </c>
      <c r="M34" s="15">
        <f>SUM(市税概要[[#This Row],[個人住民税]:[電気税]])</f>
        <v>9937933459</v>
      </c>
      <c r="N34" s="8">
        <f>市税概要[[#This Row],[税収]]-M33</f>
        <v>-223250435</v>
      </c>
      <c r="O34" s="3">
        <v>0.98529999999999995</v>
      </c>
      <c r="P34" s="1">
        <v>36060</v>
      </c>
      <c r="Q34" s="1">
        <v>97674500000</v>
      </c>
      <c r="R34" s="1">
        <f t="shared" si="0"/>
        <v>2708666.1120354966</v>
      </c>
      <c r="S34" s="1">
        <v>1966</v>
      </c>
      <c r="T34" s="1">
        <v>25601</v>
      </c>
      <c r="U34" s="1">
        <v>6290</v>
      </c>
      <c r="V34" s="1">
        <v>13259</v>
      </c>
      <c r="W34" s="3">
        <v>0.77200000000000002</v>
      </c>
      <c r="X34" s="1">
        <v>28099</v>
      </c>
      <c r="Y34" s="1">
        <v>2767</v>
      </c>
      <c r="Z34" s="1">
        <v>2008</v>
      </c>
      <c r="AA34" s="1">
        <f>195+239</f>
        <v>434</v>
      </c>
      <c r="AB34" s="1">
        <v>18149</v>
      </c>
      <c r="AC34" s="1">
        <v>27825</v>
      </c>
      <c r="AD34" s="21">
        <v>261</v>
      </c>
      <c r="AE34" s="1">
        <f>22227+11054</f>
        <v>33281</v>
      </c>
      <c r="AF34" s="1">
        <v>50183</v>
      </c>
      <c r="AG34" s="1">
        <v>28274</v>
      </c>
      <c r="AH34" s="1">
        <v>13082</v>
      </c>
      <c r="AI34" s="22">
        <v>66443</v>
      </c>
    </row>
    <row r="35" spans="1:35">
      <c r="A35" s="1" t="s">
        <v>76</v>
      </c>
      <c r="B35" s="21">
        <v>2022</v>
      </c>
      <c r="C35" s="16">
        <v>3682863746</v>
      </c>
      <c r="D35" s="16">
        <v>619451767</v>
      </c>
      <c r="E35" s="16">
        <f>4821331920+60784900</f>
        <v>4882116820</v>
      </c>
      <c r="F35" s="16">
        <v>427790055</v>
      </c>
      <c r="G35" s="16">
        <v>419589547</v>
      </c>
      <c r="H35" s="16">
        <v>0</v>
      </c>
      <c r="I35" s="16">
        <f>17823200+243242238</f>
        <v>261065438</v>
      </c>
      <c r="J35" s="16">
        <v>80800</v>
      </c>
      <c r="K35" s="16">
        <v>111400</v>
      </c>
      <c r="L35" s="16">
        <v>0</v>
      </c>
      <c r="M35" s="15">
        <f>SUM(市税概要[[#This Row],[個人住民税]:[電気税]])</f>
        <v>10293069573</v>
      </c>
      <c r="N35" s="8">
        <f>市税概要[[#This Row],[税収]]-M34</f>
        <v>355136114</v>
      </c>
      <c r="O35" s="3">
        <v>0.98660000000000003</v>
      </c>
      <c r="P35" s="1">
        <v>36225</v>
      </c>
      <c r="Q35" s="1">
        <v>101145319000</v>
      </c>
      <c r="R35" s="1">
        <f t="shared" si="0"/>
        <v>2792141.3112491374</v>
      </c>
      <c r="S35" s="1">
        <v>2008</v>
      </c>
      <c r="T35" s="1">
        <v>25694</v>
      </c>
      <c r="U35" s="1">
        <v>6529</v>
      </c>
      <c r="V35" s="1">
        <v>13299</v>
      </c>
      <c r="W35" s="3">
        <v>0.77400000000000002</v>
      </c>
      <c r="X35" s="1">
        <v>28405</v>
      </c>
      <c r="Y35" s="1">
        <v>2758</v>
      </c>
      <c r="Z35" s="1">
        <v>1902</v>
      </c>
      <c r="AA35" s="1">
        <f>163+430</f>
        <v>593</v>
      </c>
      <c r="AB35" s="1">
        <v>16015</v>
      </c>
      <c r="AC35" s="1">
        <v>28024</v>
      </c>
      <c r="AD35" s="21">
        <v>274</v>
      </c>
      <c r="AE35" s="1">
        <f>11069+22153</f>
        <v>33222</v>
      </c>
      <c r="AF35" s="1">
        <v>50055</v>
      </c>
      <c r="AG35" s="1">
        <v>28262</v>
      </c>
      <c r="AH35" s="1">
        <v>13137</v>
      </c>
      <c r="AI35" s="22">
        <v>66127</v>
      </c>
    </row>
    <row r="36" spans="1:35">
      <c r="A36" s="1" t="s">
        <v>77</v>
      </c>
      <c r="B36" s="21">
        <v>2023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5">
        <f>SUM(市税概要[[#This Row],[個人住民税]:[電気税]])</f>
        <v>0</v>
      </c>
      <c r="N36" s="8">
        <f>市税概要[[#This Row],[税収]]-M35</f>
        <v>-10293069573</v>
      </c>
      <c r="O36" s="3"/>
      <c r="P36" s="1">
        <v>36554</v>
      </c>
      <c r="Q36" s="1">
        <v>104075149000</v>
      </c>
      <c r="R36" s="1">
        <f t="shared" si="0"/>
        <v>2847161.7059692508</v>
      </c>
      <c r="S36" s="1">
        <v>2035</v>
      </c>
      <c r="T36" s="1">
        <v>25902</v>
      </c>
      <c r="U36" s="1"/>
      <c r="V36" s="1">
        <v>13350</v>
      </c>
      <c r="W36" s="3">
        <v>0.77600000000000002</v>
      </c>
      <c r="X36" s="1">
        <v>28725</v>
      </c>
      <c r="Y36" s="1">
        <v>2767</v>
      </c>
      <c r="Z36" s="1">
        <v>1809</v>
      </c>
      <c r="AA36" s="1"/>
      <c r="AB36" s="1"/>
      <c r="AC36" s="1">
        <v>28355</v>
      </c>
      <c r="AD36" s="21">
        <v>276</v>
      </c>
      <c r="AE36" s="1">
        <f>11066+22089</f>
        <v>33155</v>
      </c>
      <c r="AF36" s="1">
        <v>47009</v>
      </c>
      <c r="AG36" s="1">
        <v>28231</v>
      </c>
      <c r="AH36" s="1">
        <v>13147</v>
      </c>
      <c r="AI36" s="22">
        <v>65828</v>
      </c>
    </row>
  </sheetData>
  <phoneticPr fontId="2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6"/>
  <sheetViews>
    <sheetView topLeftCell="A13" workbookViewId="0">
      <selection activeCell="V4" sqref="V4"/>
    </sheetView>
  </sheetViews>
  <sheetFormatPr defaultRowHeight="18.75"/>
  <cols>
    <col min="1" max="1" width="30.75" customWidth="1"/>
    <col min="2" max="2" width="13.375" customWidth="1"/>
    <col min="3" max="3" width="17.625" customWidth="1"/>
    <col min="4" max="4" width="24.875" customWidth="1"/>
    <col min="5" max="5" width="21.625" bestFit="1" customWidth="1"/>
    <col min="6" max="6" width="13.375" customWidth="1"/>
    <col min="7" max="7" width="13.375" bestFit="1" customWidth="1"/>
    <col min="8" max="9" width="17.625" bestFit="1" customWidth="1"/>
    <col min="12" max="12" width="15.625" customWidth="1"/>
  </cols>
  <sheetData>
    <row r="1" spans="1:12">
      <c r="A1" s="6" t="s">
        <v>28</v>
      </c>
      <c r="D1" t="s">
        <v>33</v>
      </c>
      <c r="H1" t="s">
        <v>41</v>
      </c>
      <c r="I1" t="s">
        <v>42</v>
      </c>
      <c r="K1" t="s">
        <v>0</v>
      </c>
      <c r="L1" t="s">
        <v>80</v>
      </c>
    </row>
    <row r="2" spans="1:12">
      <c r="A2" s="7" t="s">
        <v>19</v>
      </c>
      <c r="B2" s="5">
        <v>3682863746</v>
      </c>
      <c r="D2" s="5" t="s">
        <v>1</v>
      </c>
      <c r="E2" s="14">
        <f>GETPIVOTDATA("合計 / 個人住民税",$A$1)</f>
        <v>3682863746</v>
      </c>
      <c r="F2" s="2">
        <f>E2/SUM($E$2:$E$11)</f>
        <v>0.35780033544712542</v>
      </c>
      <c r="H2">
        <v>1989</v>
      </c>
      <c r="I2" s="14">
        <f ca="1">OFFSET(data!$R$2,,,MATCH(pivot!$E$23,市税概要[西暦],0))</f>
        <v>2559947.0432114126</v>
      </c>
      <c r="K2">
        <v>1989</v>
      </c>
      <c r="L2" s="14">
        <f ca="1">OFFSET(data!$V$2,,,MATCH(pivot!$E$23,市税概要[西暦],0))</f>
        <v>9217</v>
      </c>
    </row>
    <row r="3" spans="1:12">
      <c r="A3" s="7" t="s">
        <v>20</v>
      </c>
      <c r="B3" s="5">
        <v>619451767</v>
      </c>
      <c r="D3" t="s">
        <v>2</v>
      </c>
      <c r="E3" s="14">
        <f>GETPIVOTDATA("合計 / 法人市民税",$A$1)</f>
        <v>619451767</v>
      </c>
      <c r="F3" s="2">
        <f t="shared" ref="F3:F11" si="0">E3/SUM($E$2:$E$11)</f>
        <v>6.0181441756198648E-2</v>
      </c>
      <c r="H3">
        <v>1990</v>
      </c>
      <c r="I3" s="14">
        <f ca="1">IF($E$23=1989,"",OFFSET(data!$R$2,,,MATCH(pivot!$E$23,市税概要[西暦],0)))</f>
        <v>2750700.7143443632</v>
      </c>
      <c r="K3">
        <v>1990</v>
      </c>
      <c r="L3" s="14">
        <f ca="1">IF($E$23=1989,"",OFFSET(data!$V$2,,,MATCH(pivot!$E$23,市税概要[西暦],0)))</f>
        <v>9546</v>
      </c>
    </row>
    <row r="4" spans="1:12">
      <c r="A4" s="7" t="s">
        <v>21</v>
      </c>
      <c r="B4" s="5">
        <v>4882116820</v>
      </c>
      <c r="D4" t="s">
        <v>3</v>
      </c>
      <c r="E4" s="14">
        <f>GETPIVOTDATA("合計 / 固定資産税",$A$1)</f>
        <v>4882116820</v>
      </c>
      <c r="F4" s="2">
        <f t="shared" si="0"/>
        <v>0.47431106778937926</v>
      </c>
      <c r="H4">
        <v>1991</v>
      </c>
      <c r="I4" s="14">
        <f ca="1">IF($E$23=1989,"",OFFSET(data!$R$2,,,MATCH(pivot!$E$23,市税概要[西暦],0)))</f>
        <v>2906447.2575501045</v>
      </c>
      <c r="K4">
        <v>1991</v>
      </c>
      <c r="L4" s="14">
        <f ca="1">IF($E$23=1989,"",OFFSET(data!$V$2,,,MATCH(pivot!$E$23,市税概要[西暦],0)))</f>
        <v>9865</v>
      </c>
    </row>
    <row r="5" spans="1:12">
      <c r="A5" s="7" t="s">
        <v>22</v>
      </c>
      <c r="B5" s="5">
        <v>427790055</v>
      </c>
      <c r="D5" t="s">
        <v>4</v>
      </c>
      <c r="E5" s="14">
        <f>GETPIVOTDATA("合計 / たばこ税",$A$1)</f>
        <v>427790055</v>
      </c>
      <c r="F5" s="2">
        <f t="shared" si="0"/>
        <v>4.1560979644220654E-2</v>
      </c>
      <c r="H5">
        <v>1992</v>
      </c>
      <c r="I5" s="14">
        <f ca="1">IF($E$23=1989,"",OFFSET(data!$R$2,,,MATCH(pivot!$E$23,市税概要[西暦],0)))</f>
        <v>3217559.4924129494</v>
      </c>
      <c r="K5">
        <v>1992</v>
      </c>
      <c r="L5" s="14">
        <f ca="1">IF($E$23=1989,"",OFFSET(data!$V$2,,,MATCH(pivot!$E$23,市税概要[西暦],0)))</f>
        <v>9982</v>
      </c>
    </row>
    <row r="6" spans="1:12">
      <c r="A6" s="7" t="s">
        <v>23</v>
      </c>
      <c r="B6" s="5">
        <v>419589547</v>
      </c>
      <c r="D6" t="s">
        <v>5</v>
      </c>
      <c r="E6" s="14">
        <f>GETPIVOTDATA("合計 / 都市計画税",$A$1)</f>
        <v>419589547</v>
      </c>
      <c r="F6" s="2">
        <f t="shared" si="0"/>
        <v>4.0764277752540941E-2</v>
      </c>
      <c r="H6">
        <v>1993</v>
      </c>
      <c r="I6" s="14">
        <f ca="1">IF($E$23=1989,"",OFFSET(data!$R$2,,,MATCH(pivot!$E$23,市税概要[西暦],0)))</f>
        <v>3026952.2735674675</v>
      </c>
      <c r="K6">
        <v>1993</v>
      </c>
      <c r="L6" s="14">
        <f ca="1">IF($E$23=1989,"",OFFSET(data!$V$2,,,MATCH(pivot!$E$23,市税概要[西暦],0)))</f>
        <v>10186</v>
      </c>
    </row>
    <row r="7" spans="1:12">
      <c r="A7" s="7" t="s">
        <v>34</v>
      </c>
      <c r="B7" s="5">
        <v>0</v>
      </c>
      <c r="D7" t="s">
        <v>6</v>
      </c>
      <c r="E7" s="14">
        <f>GETPIVOTDATA("合計 / 特別土地保有税",$A$1)</f>
        <v>0</v>
      </c>
      <c r="F7" s="2">
        <f t="shared" si="0"/>
        <v>0</v>
      </c>
      <c r="H7">
        <v>1994</v>
      </c>
      <c r="I7" s="14">
        <f ca="1">IF($E$23=1989,"",OFFSET(data!$R$2,,,MATCH(pivot!$E$23,市税概要[西暦],0)))</f>
        <v>3080792.2439703834</v>
      </c>
      <c r="K7">
        <v>1994</v>
      </c>
      <c r="L7" s="14">
        <f ca="1">IF($E$23=1989,"",OFFSET(data!$V$2,,,MATCH(pivot!$E$23,市税概要[西暦],0)))</f>
        <v>10477</v>
      </c>
    </row>
    <row r="8" spans="1:12">
      <c r="A8" s="7" t="s">
        <v>24</v>
      </c>
      <c r="B8" s="5">
        <v>261065438</v>
      </c>
      <c r="D8" t="s">
        <v>7</v>
      </c>
      <c r="E8" s="14">
        <f>GETPIVOTDATA("合計 / 軽自動車税",$A$1)</f>
        <v>261065438</v>
      </c>
      <c r="F8" s="2">
        <f t="shared" si="0"/>
        <v>2.5363224852264388E-2</v>
      </c>
      <c r="H8">
        <v>1995</v>
      </c>
      <c r="I8" s="14">
        <f ca="1">IF($E$23=1989,"",OFFSET(data!$R$2,,,MATCH(pivot!$E$23,市税概要[西暦],0)))</f>
        <v>3096802.2669130187</v>
      </c>
      <c r="K8">
        <v>1995</v>
      </c>
      <c r="L8" s="14">
        <f ca="1">IF($E$23=1989,"",OFFSET(data!$V$2,,,MATCH(pivot!$E$23,市税概要[西暦],0)))</f>
        <v>10649</v>
      </c>
    </row>
    <row r="9" spans="1:12">
      <c r="A9" s="7" t="s">
        <v>25</v>
      </c>
      <c r="B9" s="5">
        <v>80800</v>
      </c>
      <c r="D9" t="s">
        <v>8</v>
      </c>
      <c r="E9" s="14">
        <f>GETPIVOTDATA("合計 / 入湯税",$A$1)</f>
        <v>80800</v>
      </c>
      <c r="F9" s="2">
        <f t="shared" si="0"/>
        <v>7.8499420825784015E-6</v>
      </c>
      <c r="H9">
        <v>1996</v>
      </c>
      <c r="I9" s="14">
        <f ca="1">IF($E$23=1989,"",OFFSET(data!$R$2,,,MATCH(pivot!$E$23,市税概要[西暦],0)))</f>
        <v>3073333.2170758927</v>
      </c>
      <c r="K9">
        <v>1996</v>
      </c>
      <c r="L9" s="14">
        <f ca="1">IF($E$23=1989,"",OFFSET(data!$V$2,,,MATCH(pivot!$E$23,市税概要[西暦],0)))</f>
        <v>10836</v>
      </c>
    </row>
    <row r="10" spans="1:12">
      <c r="A10" s="7" t="s">
        <v>26</v>
      </c>
      <c r="B10" s="5">
        <v>111400</v>
      </c>
      <c r="D10" t="s">
        <v>9</v>
      </c>
      <c r="E10" s="14">
        <f>GETPIVOTDATA("合計 / 鉱産税",$A$1)</f>
        <v>111400</v>
      </c>
      <c r="F10" s="2">
        <f t="shared" si="0"/>
        <v>1.0822816188109331E-5</v>
      </c>
      <c r="H10">
        <v>1997</v>
      </c>
      <c r="I10" s="14">
        <f ca="1">IF($E$23=1989,"",OFFSET(data!$R$2,,,MATCH(pivot!$E$23,市税概要[西暦],0)))</f>
        <v>3134165.0338070928</v>
      </c>
      <c r="K10">
        <v>1997</v>
      </c>
      <c r="L10" s="14">
        <f ca="1">IF($E$23=1989,"",OFFSET(data!$V$2,,,MATCH(pivot!$E$23,市税概要[西暦],0)))</f>
        <v>10943</v>
      </c>
    </row>
    <row r="11" spans="1:12">
      <c r="A11" s="7" t="s">
        <v>35</v>
      </c>
      <c r="B11" s="5">
        <v>0</v>
      </c>
      <c r="D11" t="s">
        <v>10</v>
      </c>
      <c r="E11" s="14">
        <f>GETPIVOTDATA("合計 / 電気税",$A$1)</f>
        <v>0</v>
      </c>
      <c r="F11" s="2">
        <f t="shared" si="0"/>
        <v>0</v>
      </c>
      <c r="H11">
        <v>1998</v>
      </c>
      <c r="I11" s="14">
        <f ca="1">IF($E$23=1989,"",OFFSET(data!$R$2,,,MATCH(pivot!$E$23,市税概要[西暦],0)))</f>
        <v>3163944.6664204411</v>
      </c>
      <c r="K11">
        <v>1998</v>
      </c>
      <c r="L11" s="14">
        <f ca="1">IF($E$23=1989,"",OFFSET(data!$V$2,,,MATCH(pivot!$E$23,市税概要[西暦],0)))</f>
        <v>11031</v>
      </c>
    </row>
    <row r="12" spans="1:12">
      <c r="A12" s="7" t="s">
        <v>37</v>
      </c>
      <c r="B12" s="5">
        <v>10293069573</v>
      </c>
      <c r="D12" t="s">
        <v>11</v>
      </c>
      <c r="E12" s="1">
        <f>IF(GETPIVOTDATA("合計 / 税収",$A$1)=0,"",GETPIVOTDATA("合計 / 税収",$A$1))</f>
        <v>10293069573</v>
      </c>
      <c r="H12">
        <v>1999</v>
      </c>
      <c r="I12" s="14">
        <f ca="1">IF($E$23=1989,"",OFFSET(data!$R$2,,,MATCH(pivot!$E$23,市税概要[西暦],0)))</f>
        <v>3097608.909411022</v>
      </c>
      <c r="K12">
        <v>1999</v>
      </c>
      <c r="L12" s="14">
        <f ca="1">IF($E$23=1989,"",OFFSET(data!$V$2,,,MATCH(pivot!$E$23,市税概要[西暦],0)))</f>
        <v>11246</v>
      </c>
    </row>
    <row r="13" spans="1:12">
      <c r="A13" s="7" t="s">
        <v>39</v>
      </c>
      <c r="B13" s="5">
        <v>355136114</v>
      </c>
      <c r="D13" t="s">
        <v>40</v>
      </c>
      <c r="E13" s="9">
        <f>IF(E12="","",GETPIVOTDATA("合計 / 前年度比",$A$1))</f>
        <v>355136114</v>
      </c>
      <c r="H13">
        <v>2000</v>
      </c>
      <c r="I13" s="14">
        <f ca="1">IF($E$23=1989,"",OFFSET(data!$R$2,,,MATCH(pivot!$E$23,市税概要[西暦],0)))</f>
        <v>3065718.8832622604</v>
      </c>
      <c r="K13">
        <v>2000</v>
      </c>
      <c r="L13" s="14">
        <f ca="1">IF($E$23=1989,"",OFFSET(data!$V$2,,,MATCH(pivot!$E$23,市税概要[西暦],0)))</f>
        <v>11352</v>
      </c>
    </row>
    <row r="14" spans="1:12">
      <c r="A14" s="7" t="s">
        <v>36</v>
      </c>
      <c r="B14" s="5">
        <v>0.98660000000000003</v>
      </c>
      <c r="D14" t="s">
        <v>15</v>
      </c>
      <c r="E14" s="10">
        <f>IF(GETPIVOTDATA("合計 / 収納率",$A$1)*100=0,"",GETPIVOTDATA("合計 / 収納率",$A$1)*100)</f>
        <v>98.66</v>
      </c>
      <c r="F14" s="10">
        <f>100-E14</f>
        <v>1.3400000000000034</v>
      </c>
      <c r="H14">
        <v>2001</v>
      </c>
      <c r="I14" s="14">
        <f ca="1">IF($E$23=1989,"",OFFSET(data!$R$2,,,MATCH(pivot!$E$23,市税概要[西暦],0)))</f>
        <v>3096191.1102344082</v>
      </c>
      <c r="K14">
        <v>2001</v>
      </c>
      <c r="L14" s="14">
        <f ca="1">IF($E$23=1989,"",OFFSET(data!$V$2,,,MATCH(pivot!$E$23,市税概要[西暦],0)))</f>
        <v>11465</v>
      </c>
    </row>
    <row r="15" spans="1:12">
      <c r="A15" s="7" t="s">
        <v>27</v>
      </c>
      <c r="B15" s="5">
        <v>36225</v>
      </c>
      <c r="D15" t="s">
        <v>17</v>
      </c>
      <c r="E15" s="1">
        <f>GETPIVOTDATA("合計 / 納税義務者",$A$1)</f>
        <v>36225</v>
      </c>
      <c r="H15">
        <v>2002</v>
      </c>
      <c r="I15" s="14">
        <f ca="1">IF($E$23=1989,"",OFFSET(data!$R$2,,,MATCH(pivot!$E$23,市税概要[西暦],0)))</f>
        <v>3036060.8382600653</v>
      </c>
      <c r="K15">
        <v>2002</v>
      </c>
      <c r="L15" s="14">
        <f ca="1">IF($E$23=1989,"",OFFSET(data!$V$2,,,MATCH(pivot!$E$23,市税概要[西暦],0)))</f>
        <v>11641</v>
      </c>
    </row>
    <row r="16" spans="1:12">
      <c r="A16" s="7" t="s">
        <v>29</v>
      </c>
      <c r="B16" s="5">
        <v>101145319000</v>
      </c>
      <c r="D16" t="s">
        <v>16</v>
      </c>
      <c r="E16" s="1">
        <f>GETPIVOTDATA("合計 / 総所得",$A$1)</f>
        <v>101145319000</v>
      </c>
      <c r="H16">
        <v>2003</v>
      </c>
      <c r="I16" s="14">
        <f ca="1">IF($E$23=1989,"",OFFSET(data!$R$2,,,MATCH(pivot!$E$23,市税概要[西暦],0)))</f>
        <v>2923241.6627681614</v>
      </c>
      <c r="K16">
        <v>2003</v>
      </c>
      <c r="L16" s="14">
        <f ca="1">IF($E$23=1989,"",OFFSET(data!$V$2,,,MATCH(pivot!$E$23,市税概要[西暦],0)))</f>
        <v>11806</v>
      </c>
    </row>
    <row r="17" spans="1:12">
      <c r="A17" s="7" t="s">
        <v>30</v>
      </c>
      <c r="B17" s="5">
        <v>2792141.3112491374</v>
      </c>
      <c r="D17" t="s">
        <v>18</v>
      </c>
      <c r="E17" s="1">
        <f>GETPIVOTDATA("合計 / 納税義務者1人当たり所得",$A$1)</f>
        <v>2792141.3112491374</v>
      </c>
      <c r="H17">
        <v>2004</v>
      </c>
      <c r="I17" s="14">
        <f ca="1">IF($E$23=1989,"",OFFSET(data!$R$2,,,MATCH(pivot!$E$23,市税概要[西暦],0)))</f>
        <v>2884331.5520523698</v>
      </c>
      <c r="K17">
        <v>2004</v>
      </c>
      <c r="L17" s="14">
        <f ca="1">IF($E$23=1989,"",OFFSET(data!$V$2,,,MATCH(pivot!$E$23,市税概要[西暦],0)))</f>
        <v>11872</v>
      </c>
    </row>
    <row r="18" spans="1:12">
      <c r="A18" s="7" t="s">
        <v>31</v>
      </c>
      <c r="B18" s="5">
        <v>2008</v>
      </c>
      <c r="D18" t="s">
        <v>12</v>
      </c>
      <c r="E18" s="1">
        <f>GETPIVOTDATA("合計 / 法人数",$A$1)</f>
        <v>2008</v>
      </c>
      <c r="H18">
        <v>2005</v>
      </c>
      <c r="I18" s="14">
        <f ca="1">IF($E$23=1989,"",OFFSET(data!$R$2,,,MATCH(pivot!$E$23,市税概要[西暦],0)))</f>
        <v>2845777.4568269351</v>
      </c>
      <c r="K18">
        <v>2005</v>
      </c>
      <c r="L18" s="14">
        <f ca="1">IF($E$23=1989,"",OFFSET(data!$V$2,,,MATCH(pivot!$E$23,市税概要[西暦],0)))</f>
        <v>11908</v>
      </c>
    </row>
    <row r="19" spans="1:12">
      <c r="A19" s="7" t="s">
        <v>32</v>
      </c>
      <c r="B19" s="5">
        <v>25694</v>
      </c>
      <c r="D19" t="s">
        <v>13</v>
      </c>
      <c r="E19" s="1">
        <f>GETPIVOTDATA("合計 / 軽四輪車台数",$A$1)</f>
        <v>25694</v>
      </c>
      <c r="H19">
        <v>2006</v>
      </c>
      <c r="I19" s="14">
        <f ca="1">IF($E$23=1989,"",OFFSET(data!$R$2,,,MATCH(pivot!$E$23,市税概要[西暦],0)))</f>
        <v>2708804.3962400579</v>
      </c>
      <c r="K19">
        <v>2006</v>
      </c>
      <c r="L19" s="14">
        <f ca="1">IF($E$23=1989,"",OFFSET(data!$V$2,,,MATCH(pivot!$E$23,市税概要[西暦],0)))</f>
        <v>12545</v>
      </c>
    </row>
    <row r="20" spans="1:12">
      <c r="A20" s="7" t="s">
        <v>116</v>
      </c>
      <c r="B20" s="5">
        <v>6529</v>
      </c>
      <c r="D20" t="s">
        <v>14</v>
      </c>
      <c r="E20" s="1">
        <f>GETPIVOTDATA("合計 / たばこ消費本数",$A$1)</f>
        <v>6529</v>
      </c>
      <c r="H20">
        <v>2007</v>
      </c>
      <c r="I20" s="14">
        <f ca="1">IF($E$23=1989,"",OFFSET(data!$R$2,,,MATCH(pivot!$E$23,市税概要[西暦],0)))</f>
        <v>2680296.857607672</v>
      </c>
      <c r="K20">
        <v>2007</v>
      </c>
      <c r="L20" s="14">
        <f ca="1">IF($E$23=1989,"",OFFSET(data!$V$2,,,MATCH(pivot!$E$23,市税概要[西暦],0)))</f>
        <v>12673</v>
      </c>
    </row>
    <row r="21" spans="1:12">
      <c r="A21" s="7" t="s">
        <v>84</v>
      </c>
      <c r="B21" s="5">
        <v>0.77400000000000002</v>
      </c>
      <c r="D21" t="s">
        <v>82</v>
      </c>
      <c r="E21" s="10">
        <f>GETPIVOTDATA("合計 / 給与所得者の率",$A$1)*100</f>
        <v>77.400000000000006</v>
      </c>
      <c r="F21" s="10">
        <f>100-E21</f>
        <v>22.599999999999994</v>
      </c>
      <c r="H21">
        <v>2008</v>
      </c>
      <c r="I21" s="14">
        <f ca="1">IF($E$23=1989,"",OFFSET(data!$R$2,,,MATCH(pivot!$E$23,市税概要[西暦],0)))</f>
        <v>2664522.0889242664</v>
      </c>
      <c r="K21">
        <v>2008</v>
      </c>
      <c r="L21" s="14">
        <f ca="1">IF($E$23=1989,"",OFFSET(data!$V$2,,,MATCH(pivot!$E$23,市税概要[西暦],0)))</f>
        <v>12735</v>
      </c>
    </row>
    <row r="22" spans="1:12">
      <c r="A22" s="7" t="s">
        <v>83</v>
      </c>
      <c r="B22" s="5">
        <v>13299</v>
      </c>
      <c r="D22" t="s">
        <v>85</v>
      </c>
      <c r="E22" s="1">
        <f>GETPIVOTDATA("合計 / 宅地面積",$A$1)</f>
        <v>13299</v>
      </c>
      <c r="H22">
        <v>2009</v>
      </c>
      <c r="I22" s="14">
        <f ca="1">IF($E$23=1989,"",OFFSET(data!$R$2,,,MATCH(pivot!$E$23,市税概要[西暦],0)))</f>
        <v>2638184.8445781409</v>
      </c>
      <c r="K22">
        <v>2009</v>
      </c>
      <c r="L22" s="14">
        <f ca="1">IF($E$23=1989,"",OFFSET(data!$V$2,,,MATCH(pivot!$E$23,市税概要[西暦],0)))</f>
        <v>12788</v>
      </c>
    </row>
    <row r="23" spans="1:12">
      <c r="A23" s="7" t="s">
        <v>79</v>
      </c>
      <c r="B23" s="5">
        <v>2022</v>
      </c>
      <c r="D23" t="s">
        <v>112</v>
      </c>
      <c r="E23">
        <f>GETPIVOTDATA("合計 / 西暦",$A$1)</f>
        <v>2022</v>
      </c>
      <c r="H23">
        <v>2010</v>
      </c>
      <c r="I23" s="14">
        <f ca="1">IF($E$23=1989,"",OFFSET(data!$R$2,,,MATCH(pivot!$E$23,市税概要[西暦],0)))</f>
        <v>2455822.1827336</v>
      </c>
      <c r="K23">
        <v>2010</v>
      </c>
      <c r="L23" s="14">
        <f ca="1">IF($E$23=1989,"",OFFSET(data!$V$2,,,MATCH(pivot!$E$23,市税概要[西暦],0)))</f>
        <v>12833</v>
      </c>
    </row>
    <row r="24" spans="1:12">
      <c r="A24" s="7" t="s">
        <v>97</v>
      </c>
      <c r="B24" s="5">
        <v>28405</v>
      </c>
      <c r="D24" t="s">
        <v>108</v>
      </c>
      <c r="E24" s="1">
        <f>GETPIVOTDATA("合計 / 世帯数",$A$1)</f>
        <v>28405</v>
      </c>
      <c r="H24">
        <v>2011</v>
      </c>
      <c r="I24" s="14">
        <f ca="1">IF($E$23=1989,"",OFFSET(data!$R$2,,,MATCH(pivot!$E$23,市税概要[西暦],0)))</f>
        <v>2523933.6868463689</v>
      </c>
      <c r="K24">
        <v>2011</v>
      </c>
      <c r="L24" s="14">
        <f ca="1">IF($E$23=1989,"",OFFSET(data!$V$2,,,MATCH(pivot!$E$23,市税概要[西暦],0)))</f>
        <v>12910</v>
      </c>
    </row>
    <row r="25" spans="1:12">
      <c r="A25" s="7" t="s">
        <v>98</v>
      </c>
      <c r="B25" s="5">
        <v>2758</v>
      </c>
      <c r="D25" t="s">
        <v>109</v>
      </c>
      <c r="E25" s="1">
        <f>GETPIVOTDATA("合計 / 農耕用作業車数",$A$1)</f>
        <v>2758</v>
      </c>
      <c r="H25">
        <v>2012</v>
      </c>
      <c r="I25" s="14">
        <f ca="1">IF($E$23=1989,"",OFFSET(data!$R$2,,,MATCH(pivot!$E$23,市税概要[西暦],0)))</f>
        <v>2538160.0140774846</v>
      </c>
      <c r="K25">
        <v>2012</v>
      </c>
      <c r="L25" s="14">
        <f ca="1">IF($E$23=1989,"",OFFSET(data!$V$2,,,MATCH(pivot!$E$23,市税概要[西暦],0)))</f>
        <v>12998</v>
      </c>
    </row>
    <row r="26" spans="1:12">
      <c r="A26" s="7" t="s">
        <v>99</v>
      </c>
      <c r="B26" s="5">
        <v>1902</v>
      </c>
      <c r="D26" t="s">
        <v>88</v>
      </c>
      <c r="E26" s="1">
        <f>GETPIVOTDATA("合計 / ５０CCバイク数",$A$1)</f>
        <v>1902</v>
      </c>
      <c r="H26">
        <v>2013</v>
      </c>
      <c r="I26" s="14">
        <f ca="1">IF($E$23=1989,"",OFFSET(data!$R$2,,,MATCH(pivot!$E$23,市税概要[西暦],0)))</f>
        <v>2441667.5329984813</v>
      </c>
      <c r="K26">
        <v>2013</v>
      </c>
      <c r="L26" s="14">
        <f ca="1">IF($E$23=1989,"",OFFSET(data!$V$2,,,MATCH(pivot!$E$23,市税概要[西暦],0)))</f>
        <v>13033</v>
      </c>
    </row>
    <row r="27" spans="1:12">
      <c r="A27" s="7" t="s">
        <v>100</v>
      </c>
      <c r="B27" s="5">
        <v>593</v>
      </c>
      <c r="D27" t="s">
        <v>89</v>
      </c>
      <c r="E27" s="1">
        <f>GETPIVOTDATA("合計 / 入湯客数",$A$1)</f>
        <v>593</v>
      </c>
      <c r="H27">
        <v>2014</v>
      </c>
      <c r="I27" s="14">
        <f ca="1">IF($E$23=1989,"",OFFSET(data!$R$2,,,MATCH(pivot!$E$23,市税概要[西暦],0)))</f>
        <v>2479363.2034126101</v>
      </c>
      <c r="K27">
        <v>2014</v>
      </c>
      <c r="L27" s="14">
        <f ca="1">IF($E$23=1989,"",OFFSET(data!$V$2,,,MATCH(pivot!$E$23,市税概要[西暦],0)))</f>
        <v>13065</v>
      </c>
    </row>
    <row r="28" spans="1:12">
      <c r="A28" s="7" t="s">
        <v>114</v>
      </c>
      <c r="B28" s="5">
        <v>16015</v>
      </c>
      <c r="D28" t="s">
        <v>113</v>
      </c>
      <c r="E28" s="1">
        <f>GETPIVOTDATA("合計 / 鉱物価格",$A$1)</f>
        <v>16015</v>
      </c>
      <c r="H28">
        <v>2015</v>
      </c>
      <c r="I28" s="14">
        <f ca="1">IF($E$23=1989,"",OFFSET(data!$R$2,,,MATCH(pivot!$E$23,市税概要[西暦],0)))</f>
        <v>2585001.4332095119</v>
      </c>
      <c r="K28">
        <v>2015</v>
      </c>
      <c r="L28" s="14">
        <f ca="1">IF($E$23=1989,"",OFFSET(data!$V$2,,,MATCH(pivot!$E$23,市税概要[西暦],0)))</f>
        <v>13018</v>
      </c>
    </row>
    <row r="29" spans="1:12">
      <c r="A29" s="7" t="s">
        <v>101</v>
      </c>
      <c r="B29" s="5">
        <v>28024</v>
      </c>
      <c r="D29" t="s">
        <v>90</v>
      </c>
      <c r="E29" s="1">
        <f>GETPIVOTDATA("合計 / 給与所得者数",$A$1)</f>
        <v>28024</v>
      </c>
      <c r="H29">
        <v>2016</v>
      </c>
      <c r="I29" s="14">
        <f ca="1">IF($E$23=1989,"",OFFSET(data!$R$2,,,MATCH(pivot!$E$23,市税概要[西暦],0)))</f>
        <v>2627745.1597079956</v>
      </c>
      <c r="K29">
        <v>2016</v>
      </c>
      <c r="L29" s="14">
        <f ca="1">IF($E$23=1989,"",OFFSET(data!$V$2,,,MATCH(pivot!$E$23,市税概要[西暦],0)))</f>
        <v>13058</v>
      </c>
    </row>
    <row r="30" spans="1:12">
      <c r="A30" s="7" t="s">
        <v>102</v>
      </c>
      <c r="B30" s="5">
        <v>274</v>
      </c>
      <c r="D30" t="s">
        <v>110</v>
      </c>
      <c r="E30" s="1">
        <f>GETPIVOTDATA("合計 / 農業所得者数",$A$1)</f>
        <v>274</v>
      </c>
      <c r="H30">
        <v>2017</v>
      </c>
      <c r="I30" s="14">
        <f ca="1">IF($E$23=1989,"",OFFSET(data!$R$2,,,MATCH(pivot!$E$23,市税概要[西暦],0)))</f>
        <v>2643291.3365631234</v>
      </c>
      <c r="K30">
        <v>2017</v>
      </c>
      <c r="L30" s="14">
        <f ca="1">IF($E$23=1989,"",OFFSET(data!$V$2,,,MATCH(pivot!$E$23,市税概要[西暦],0)))</f>
        <v>13116</v>
      </c>
    </row>
    <row r="31" spans="1:12">
      <c r="A31" s="7" t="s">
        <v>103</v>
      </c>
      <c r="B31" s="5">
        <v>33222</v>
      </c>
      <c r="D31" t="s">
        <v>111</v>
      </c>
      <c r="E31" s="1">
        <f>GETPIVOTDATA("合計 / 田畑面積",$A$1)</f>
        <v>33222</v>
      </c>
      <c r="H31">
        <v>2018</v>
      </c>
      <c r="I31" s="14">
        <f ca="1">IF($E$23=1989,"",OFFSET(data!$R$2,,,MATCH(pivot!$E$23,市税概要[西暦],0)))</f>
        <v>2631485.6748068356</v>
      </c>
      <c r="K31">
        <v>2018</v>
      </c>
      <c r="L31" s="14">
        <f ca="1">IF($E$23=1989,"",OFFSET(data!$V$2,,,MATCH(pivot!$E$23,市税概要[西暦],0)))</f>
        <v>13150</v>
      </c>
    </row>
    <row r="32" spans="1:12">
      <c r="A32" s="7" t="s">
        <v>104</v>
      </c>
      <c r="B32" s="5">
        <v>50055</v>
      </c>
      <c r="D32" t="s">
        <v>93</v>
      </c>
      <c r="E32" s="1">
        <f>GETPIVOTDATA("合計 / 山林面積",$A$1)</f>
        <v>50055</v>
      </c>
      <c r="H32">
        <v>2019</v>
      </c>
      <c r="I32" s="14">
        <f ca="1">IF($E$23=1989,"",OFFSET(data!$R$2,,,MATCH(pivot!$E$23,市税概要[西暦],0)))</f>
        <v>2659534.6424498651</v>
      </c>
      <c r="K32">
        <v>2019</v>
      </c>
      <c r="L32" s="14">
        <f ca="1">IF($E$23=1989,"",OFFSET(data!$V$2,,,MATCH(pivot!$E$23,市税概要[西暦],0)))</f>
        <v>13191</v>
      </c>
    </row>
    <row r="33" spans="1:12">
      <c r="A33" s="7" t="s">
        <v>105</v>
      </c>
      <c r="B33" s="5">
        <v>28262</v>
      </c>
      <c r="D33" t="s">
        <v>94</v>
      </c>
      <c r="E33" s="1">
        <f>GETPIVOTDATA("合計 / 木造建物数",$A$1)</f>
        <v>28262</v>
      </c>
      <c r="H33">
        <v>2020</v>
      </c>
      <c r="I33" s="14">
        <f ca="1">IF($E$23=1989,"",OFFSET(data!$R$2,,,MATCH(pivot!$E$23,市税概要[西暦],0)))</f>
        <v>2660502.6066808263</v>
      </c>
      <c r="K33">
        <v>2020</v>
      </c>
      <c r="L33" s="14">
        <f ca="1">IF($E$23=1989,"",OFFSET(data!$V$2,,,MATCH(pivot!$E$23,市税概要[西暦],0)))</f>
        <v>13218</v>
      </c>
    </row>
    <row r="34" spans="1:12">
      <c r="A34" s="7" t="s">
        <v>106</v>
      </c>
      <c r="B34" s="5">
        <v>13137</v>
      </c>
      <c r="D34" t="s">
        <v>95</v>
      </c>
      <c r="E34" s="1">
        <f>GETPIVOTDATA("合計 / 非木造建物数",$A$1)</f>
        <v>13137</v>
      </c>
      <c r="H34">
        <v>2021</v>
      </c>
      <c r="I34" s="14">
        <f ca="1">IF($E$23=1989,"",OFFSET(data!$R$2,,,MATCH(pivot!$E$23,市税概要[西暦],0)))</f>
        <v>2708666.1120354966</v>
      </c>
      <c r="K34">
        <v>2021</v>
      </c>
      <c r="L34" s="14">
        <f ca="1">IF($E$23=1989,"",OFFSET(data!$V$2,,,MATCH(pivot!$E$23,市税概要[西暦],0)))</f>
        <v>13259</v>
      </c>
    </row>
    <row r="35" spans="1:12">
      <c r="A35" s="7" t="s">
        <v>107</v>
      </c>
      <c r="B35" s="5">
        <v>66127</v>
      </c>
      <c r="D35" t="s">
        <v>96</v>
      </c>
      <c r="E35" s="1">
        <f>GETPIVOTDATA("合計 / 人口",$A$1)</f>
        <v>66127</v>
      </c>
      <c r="H35">
        <v>2022</v>
      </c>
      <c r="I35" s="14">
        <f ca="1">IF($E$23=1989,"",OFFSET(data!$R$2,,,MATCH(pivot!$E$23,市税概要[西暦],0)))</f>
        <v>2792141.3112491374</v>
      </c>
      <c r="K35">
        <v>2022</v>
      </c>
      <c r="L35" s="14">
        <f ca="1">IF($E$23=1989,"",OFFSET(data!$V$2,,,MATCH(pivot!$E$23,市税概要[西暦],0)))</f>
        <v>13299</v>
      </c>
    </row>
    <row r="36" spans="1:12">
      <c r="H36">
        <v>2023</v>
      </c>
      <c r="I36" s="14" t="e">
        <f ca="1">IF($E$23=1989,"",OFFSET(data!$R$2,,,MATCH(pivot!$E$23,市税概要[西暦],0)))</f>
        <v>#VALUE!</v>
      </c>
      <c r="K36">
        <v>2023</v>
      </c>
      <c r="L36" s="14" t="e">
        <f ca="1">IF($E$23=1989,"",OFFSET(data!$V$2,,,MATCH(pivot!$E$23,市税概要[西暦],0)))</f>
        <v>#VALUE!</v>
      </c>
    </row>
  </sheetData>
  <phoneticPr fontId="2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0"/>
  <sheetViews>
    <sheetView workbookViewId="0">
      <selection activeCell="E4" sqref="E4"/>
    </sheetView>
  </sheetViews>
  <sheetFormatPr defaultRowHeight="13.5"/>
  <cols>
    <col min="1" max="1" width="16.25" style="11" customWidth="1"/>
    <col min="2" max="2" width="27.5" style="19" customWidth="1"/>
    <col min="3" max="3" width="20.125" style="19" customWidth="1"/>
    <col min="4" max="4" width="9.375" style="11" customWidth="1"/>
    <col min="5" max="6" width="9" style="11"/>
    <col min="7" max="7" width="17.125" style="11" customWidth="1"/>
    <col min="8" max="8" width="16" style="11" customWidth="1"/>
    <col min="9" max="9" width="15.25" style="11" customWidth="1"/>
    <col min="10" max="16384" width="9" style="11"/>
  </cols>
  <sheetData>
    <row r="1" spans="1:9" ht="21.75" customHeight="1">
      <c r="A1" s="12" t="str">
        <f>pivot!D2</f>
        <v>個人住民税</v>
      </c>
      <c r="B1" s="20">
        <f>IF(pivot!E2=0,"",pivot!E2)</f>
        <v>3682863746</v>
      </c>
      <c r="C1" s="18">
        <f>IF(pivot!E2=0,"",pivot!E2)</f>
        <v>3682863746</v>
      </c>
      <c r="D1" s="13">
        <f>IFERROR(pivot!F2,"")</f>
        <v>0.35780033544712542</v>
      </c>
    </row>
    <row r="2" spans="1:9" ht="21.75" customHeight="1">
      <c r="A2" s="12" t="str">
        <f>pivot!D3</f>
        <v>法人市民税</v>
      </c>
      <c r="B2" s="20">
        <f>IF(pivot!E3=0,"",pivot!E3)</f>
        <v>619451767</v>
      </c>
      <c r="C2" s="18">
        <f>IF(pivot!E3=0,"",pivot!E3)</f>
        <v>619451767</v>
      </c>
      <c r="D2" s="13">
        <f>IFERROR(pivot!F3,"")</f>
        <v>6.0181441756198648E-2</v>
      </c>
    </row>
    <row r="3" spans="1:9" ht="21.75" customHeight="1">
      <c r="A3" s="12" t="str">
        <f>pivot!D4</f>
        <v>固定資産税</v>
      </c>
      <c r="B3" s="20">
        <f>IF(pivot!E4=0,"",pivot!E4)</f>
        <v>4882116820</v>
      </c>
      <c r="C3" s="18">
        <f>IF(pivot!E4=0,"",pivot!E4)</f>
        <v>4882116820</v>
      </c>
      <c r="D3" s="13">
        <f>IFERROR(pivot!F4,"")</f>
        <v>0.47431106778937926</v>
      </c>
    </row>
    <row r="4" spans="1:9" ht="21.75" customHeight="1">
      <c r="A4" s="12" t="str">
        <f>pivot!D5</f>
        <v>たばこ税</v>
      </c>
      <c r="B4" s="20">
        <f>IF(pivot!E5=0,"",pivot!E5)</f>
        <v>427790055</v>
      </c>
      <c r="C4" s="18">
        <f>IF(pivot!E5=0,"",pivot!E5)</f>
        <v>427790055</v>
      </c>
      <c r="D4" s="13">
        <f>IFERROR(pivot!F5,"")</f>
        <v>4.1560979644220654E-2</v>
      </c>
    </row>
    <row r="5" spans="1:9" ht="21.75" customHeight="1">
      <c r="A5" s="12" t="str">
        <f>pivot!D6</f>
        <v>都市計画税</v>
      </c>
      <c r="B5" s="20">
        <f>IF(pivot!E6=0,"",pivot!E6)</f>
        <v>419589547</v>
      </c>
      <c r="C5" s="18">
        <f>IF(pivot!E6=0,"",pivot!E6)</f>
        <v>419589547</v>
      </c>
      <c r="D5" s="13">
        <f>IFERROR(pivot!F6,"")</f>
        <v>4.0764277752540941E-2</v>
      </c>
    </row>
    <row r="6" spans="1:9" ht="21.75" customHeight="1">
      <c r="A6" s="12" t="str">
        <f>pivot!D7</f>
        <v>特別土地保有税</v>
      </c>
      <c r="B6" s="20" t="str">
        <f>IF(pivot!E7=0,"",pivot!E7)</f>
        <v/>
      </c>
      <c r="C6" s="18" t="str">
        <f>IF(pivot!E7=0,"",pivot!E7)</f>
        <v/>
      </c>
      <c r="D6" s="13">
        <f>IFERROR(pivot!F7,"")</f>
        <v>0</v>
      </c>
    </row>
    <row r="7" spans="1:9" ht="21.75" customHeight="1">
      <c r="A7" s="12" t="str">
        <f>pivot!D8</f>
        <v>軽自動車税</v>
      </c>
      <c r="B7" s="20">
        <f>IF(pivot!E8=0,"",pivot!E8)</f>
        <v>261065438</v>
      </c>
      <c r="C7" s="18">
        <f>IF(pivot!E8=0,"",pivot!E8)</f>
        <v>261065438</v>
      </c>
      <c r="D7" s="13">
        <f>IFERROR(pivot!F8,"")</f>
        <v>2.5363224852264388E-2</v>
      </c>
    </row>
    <row r="8" spans="1:9" ht="21.75" customHeight="1">
      <c r="A8" s="12" t="str">
        <f>pivot!D9</f>
        <v>入湯税</v>
      </c>
      <c r="B8" s="20">
        <f>IF(pivot!E9=0,"",pivot!E9)</f>
        <v>80800</v>
      </c>
      <c r="C8" s="18">
        <f>IF(pivot!E9=0,"",pivot!E9)</f>
        <v>80800</v>
      </c>
      <c r="D8" s="13">
        <f>IFERROR(pivot!F9,"")</f>
        <v>7.8499420825784015E-6</v>
      </c>
    </row>
    <row r="9" spans="1:9" ht="21.75" customHeight="1">
      <c r="A9" s="12" t="str">
        <f>pivot!D10</f>
        <v>鉱産税</v>
      </c>
      <c r="B9" s="20">
        <f>IF(pivot!E10=0,"",pivot!E10)</f>
        <v>111400</v>
      </c>
      <c r="C9" s="18">
        <f>IF(pivot!E10=0,"",pivot!E10)</f>
        <v>111400</v>
      </c>
      <c r="D9" s="13">
        <f>IFERROR(pivot!F10,"")</f>
        <v>1.0822816188109331E-5</v>
      </c>
    </row>
    <row r="10" spans="1:9" ht="21.75" customHeight="1">
      <c r="A10" s="12" t="str">
        <f>pivot!D11</f>
        <v>電気税</v>
      </c>
      <c r="B10" s="20" t="str">
        <f>IF(pivot!E11=0,"",pivot!E11)</f>
        <v/>
      </c>
      <c r="C10" s="18" t="str">
        <f>IF(pivot!E11=0,"",pivot!E11)</f>
        <v/>
      </c>
      <c r="D10" s="13">
        <f>IFERROR(pivot!F11,"")</f>
        <v>0</v>
      </c>
    </row>
    <row r="16" spans="1:9" s="23" customFormat="1" ht="31.5" customHeight="1">
      <c r="B16" s="24"/>
      <c r="C16" s="24"/>
      <c r="G16" s="25" t="str">
        <f>市税概要[[#Headers],[人口]]</f>
        <v>人口</v>
      </c>
      <c r="H16" s="26">
        <f>pivot!E35</f>
        <v>66127</v>
      </c>
      <c r="I16" s="27">
        <f>pivot!E35</f>
        <v>66127</v>
      </c>
    </row>
    <row r="17" spans="2:9" s="23" customFormat="1" ht="31.5" customHeight="1">
      <c r="B17" s="24"/>
      <c r="C17" s="24"/>
      <c r="G17" s="25" t="str">
        <f>市税概要[[#Headers],[世帯数]]</f>
        <v>世帯数</v>
      </c>
      <c r="H17" s="26">
        <f>pivot!E24</f>
        <v>28405</v>
      </c>
      <c r="I17" s="28">
        <f>pivot!E24</f>
        <v>28405</v>
      </c>
    </row>
    <row r="18" spans="2:9" s="23" customFormat="1" ht="31.5" customHeight="1">
      <c r="B18" s="24"/>
      <c r="C18" s="24"/>
      <c r="G18" s="25" t="str">
        <f>市税概要[[#Headers],[法人数]]</f>
        <v>法人数</v>
      </c>
      <c r="H18" s="26">
        <f>pivot!E18</f>
        <v>2008</v>
      </c>
      <c r="I18" s="29">
        <f>pivot!E18</f>
        <v>2008</v>
      </c>
    </row>
    <row r="19" spans="2:9" s="23" customFormat="1" ht="31.5" customHeight="1">
      <c r="B19" s="24"/>
      <c r="C19" s="24"/>
      <c r="G19" s="25" t="str">
        <f>市税概要[[#Headers],[軽四輪車台数]]</f>
        <v>軽四輪車台数</v>
      </c>
      <c r="H19" s="26">
        <f>pivot!E19</f>
        <v>25694</v>
      </c>
      <c r="I19" s="30">
        <f>pivot!E19</f>
        <v>25694</v>
      </c>
    </row>
    <row r="20" spans="2:9" s="23" customFormat="1" ht="31.5" customHeight="1">
      <c r="B20" s="24"/>
      <c r="C20" s="24"/>
      <c r="G20" s="25" t="str">
        <f>市税概要[[#Headers],[農耕用作業車数]]</f>
        <v>農耕用作業車数</v>
      </c>
      <c r="H20" s="26">
        <f>pivot!E25</f>
        <v>2758</v>
      </c>
      <c r="I20" s="30">
        <f>pivot!E25</f>
        <v>2758</v>
      </c>
    </row>
    <row r="21" spans="2:9" s="23" customFormat="1" ht="31.5" customHeight="1">
      <c r="B21" s="24"/>
      <c r="C21" s="24"/>
      <c r="G21" s="25" t="str">
        <f>市税概要[[#Headers],[５０CCバイク数]]</f>
        <v>５０CCバイク数</v>
      </c>
      <c r="H21" s="26">
        <f>pivot!E26</f>
        <v>1902</v>
      </c>
      <c r="I21" s="30">
        <f>pivot!E26</f>
        <v>1902</v>
      </c>
    </row>
    <row r="22" spans="2:9" s="23" customFormat="1" ht="31.5" customHeight="1">
      <c r="B22" s="24"/>
      <c r="C22" s="24"/>
      <c r="G22" s="25" t="str">
        <f>市税概要[[#Headers],[たばこ消費本数]]</f>
        <v>たばこ消費本数</v>
      </c>
      <c r="H22" s="26">
        <f>pivot!E20</f>
        <v>6529</v>
      </c>
      <c r="I22" s="47">
        <f>IF(pivot!E20=0,"",pivot!E20)</f>
        <v>6529</v>
      </c>
    </row>
    <row r="23" spans="2:9" s="23" customFormat="1" ht="31.5" customHeight="1">
      <c r="B23" s="24"/>
      <c r="C23" s="24"/>
      <c r="G23" s="25" t="str">
        <f>市税概要[[#Headers],[入湯客数]]</f>
        <v>入湯客数</v>
      </c>
      <c r="H23" s="26">
        <f>pivot!E27</f>
        <v>593</v>
      </c>
      <c r="I23" s="27">
        <f>IF(pivot!E27=0,"",pivot!E27)</f>
        <v>593</v>
      </c>
    </row>
    <row r="24" spans="2:9" s="23" customFormat="1" ht="31.5" customHeight="1">
      <c r="B24" s="24"/>
      <c r="C24" s="24"/>
      <c r="G24" s="25" t="str">
        <f>市税概要[[#Headers],[鉱物価格]]</f>
        <v>鉱物価格</v>
      </c>
      <c r="H24" s="26">
        <f>pivot!E28</f>
        <v>16015</v>
      </c>
      <c r="I24" s="45">
        <f>IF(pivot!E28=0,"",pivot!E28)</f>
        <v>16015</v>
      </c>
    </row>
    <row r="25" spans="2:9" s="23" customFormat="1" ht="31.5" customHeight="1">
      <c r="B25" s="24"/>
      <c r="C25" s="24"/>
      <c r="G25" s="25" t="str">
        <f>市税概要[[#Headers],[給与所得者数]]</f>
        <v>給与所得者数</v>
      </c>
      <c r="H25" s="26">
        <f>pivot!E29</f>
        <v>28024</v>
      </c>
      <c r="I25" s="27">
        <f>pivot!E29</f>
        <v>28024</v>
      </c>
    </row>
    <row r="26" spans="2:9" s="23" customFormat="1" ht="31.5" customHeight="1">
      <c r="B26" s="24"/>
      <c r="C26" s="24"/>
      <c r="G26" s="25" t="str">
        <f>市税概要[[#Headers],[農業所得者数]]</f>
        <v>農業所得者数</v>
      </c>
      <c r="H26" s="26">
        <f>pivot!E30</f>
        <v>274</v>
      </c>
      <c r="I26" s="27">
        <f>pivot!E30</f>
        <v>274</v>
      </c>
    </row>
    <row r="27" spans="2:9" s="23" customFormat="1" ht="31.5" customHeight="1">
      <c r="B27" s="24"/>
      <c r="C27" s="24"/>
      <c r="G27" s="25" t="str">
        <f>市税概要[[#Headers],[田畑面積]]</f>
        <v>田畑面積</v>
      </c>
      <c r="H27" s="26">
        <f>pivot!E31</f>
        <v>33222</v>
      </c>
      <c r="I27" s="46">
        <f>pivot!E31</f>
        <v>33222</v>
      </c>
    </row>
    <row r="28" spans="2:9" s="23" customFormat="1" ht="31.5" customHeight="1">
      <c r="B28" s="24"/>
      <c r="C28" s="24"/>
      <c r="G28" s="25" t="str">
        <f>市税概要[[#Headers],[山林面積]]</f>
        <v>山林面積</v>
      </c>
      <c r="H28" s="26">
        <f>pivot!E32</f>
        <v>50055</v>
      </c>
      <c r="I28" s="46">
        <f>pivot!E32</f>
        <v>50055</v>
      </c>
    </row>
    <row r="29" spans="2:9" s="23" customFormat="1" ht="31.5" customHeight="1">
      <c r="B29" s="24"/>
      <c r="C29" s="24"/>
      <c r="G29" s="25" t="str">
        <f>市税概要[[#Headers],[木造建物数]]</f>
        <v>木造建物数</v>
      </c>
      <c r="H29" s="26">
        <f>pivot!E33</f>
        <v>28262</v>
      </c>
      <c r="I29" s="31">
        <f>pivot!E33</f>
        <v>28262</v>
      </c>
    </row>
    <row r="30" spans="2:9" s="23" customFormat="1" ht="31.5" customHeight="1">
      <c r="B30" s="24"/>
      <c r="C30" s="24"/>
      <c r="G30" s="25" t="str">
        <f>市税概要[[#Headers],[非木造建物数]]</f>
        <v>非木造建物数</v>
      </c>
      <c r="H30" s="26">
        <f>pivot!E34</f>
        <v>13137</v>
      </c>
      <c r="I30" s="31">
        <f>pivot!E34</f>
        <v>13137</v>
      </c>
    </row>
  </sheetData>
  <phoneticPr fontId="2"/>
  <conditionalFormatting sqref="B1:B10">
    <cfRule type="dataBar" priority="2">
      <dataBar showValue="0">
        <cfvo type="min"/>
        <cfvo type="max"/>
        <color rgb="FF7030A0"/>
      </dataBar>
      <extLst>
        <ext xmlns:x14="http://schemas.microsoft.com/office/spreadsheetml/2009/9/main" uri="{B025F937-C7B1-47D3-B67F-A62EFF666E3E}">
          <x14:id>{B478F8AF-67DE-4476-B35C-CF09447AF880}</x14:id>
        </ext>
      </extLst>
    </cfRule>
  </conditionalFormatting>
  <conditionalFormatting sqref="H16:H30">
    <cfRule type="dataBar" priority="1">
      <dataBar showValue="0">
        <cfvo type="min"/>
        <cfvo type="max"/>
        <color rgb="FF7030A0"/>
      </dataBar>
      <extLst>
        <ext xmlns:x14="http://schemas.microsoft.com/office/spreadsheetml/2009/9/main" uri="{B025F937-C7B1-47D3-B67F-A62EFF666E3E}">
          <x14:id>{0936E34F-D0DD-4818-A511-3FC01B1C8EDE}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78F8AF-67DE-4476-B35C-CF09447AF880}">
            <x14:dataBar minLength="0" maxLength="100" direction="leftToRight" axisPosition="none">
              <x14:cfvo type="autoMin"/>
              <x14:cfvo type="autoMax"/>
              <x14:negativeFillColor rgb="FFFF0000"/>
            </x14:dataBar>
          </x14:cfRule>
          <xm:sqref>B1:B10</xm:sqref>
        </x14:conditionalFormatting>
        <x14:conditionalFormatting xmlns:xm="http://schemas.microsoft.com/office/excel/2006/main">
          <x14:cfRule type="dataBar" id="{0936E34F-D0DD-4818-A511-3FC01B1C8EDE}">
            <x14:dataBar minLength="0" maxLength="100" axisPosition="none">
              <x14:cfvo type="autoMin"/>
              <x14:cfvo type="autoMax"/>
              <x14:negativeFillColor rgb="FFFF0000"/>
            </x14:dataBar>
          </x14:cfRule>
          <xm:sqref>H16:H30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Dashboard</vt:lpstr>
      <vt:lpstr>data</vt:lpstr>
      <vt:lpstr>pivot</vt:lpstr>
      <vt:lpstr>camera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2023-12-21T12:22:09Z</dcterms:modified>
</cp:coreProperties>
</file>