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5財政課\02 財政係\740 公表関係\99 ホームページ\Ｒ03\04財務書類\"/>
    </mc:Choice>
  </mc:AlternateContent>
  <bookViews>
    <workbookView xWindow="360" yWindow="75" windowWidth="28035" windowHeight="12570"/>
  </bookViews>
  <sheets>
    <sheet name="貸借対照表" sheetId="5" r:id="rId1"/>
    <sheet name="行政コスト計算書" sheetId="6" r:id="rId2"/>
    <sheet name="純資産変動計算書 (修正後)" sheetId="9" r:id="rId3"/>
    <sheet name="資金収支計算書" sheetId="8" r:id="rId4"/>
  </sheets>
  <externalReferences>
    <externalReference r:id="rId5"/>
  </externalReferences>
  <definedNames>
    <definedName name="CSV" localSheetId="2">#REF!</definedName>
    <definedName name="CSV">#REF!</definedName>
    <definedName name="CSVDATA" localSheetId="2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'純資産変動計算書 (修正後)'!$B$1:$S$25</definedName>
    <definedName name="_xlnm.Print_Area" localSheetId="0">貸借対照表!$C$1:$AB$64</definedName>
    <definedName name="shiojiri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O16" i="9" l="1"/>
  <c r="M60" i="8"/>
  <c r="M55" i="8"/>
  <c r="M29" i="8"/>
  <c r="M26" i="8"/>
  <c r="M25" i="8"/>
  <c r="O9" i="9"/>
  <c r="K9" i="9" s="1"/>
  <c r="M16" i="9" l="1"/>
  <c r="K20" i="9"/>
  <c r="K12" i="9"/>
  <c r="K11" i="9"/>
  <c r="K10" i="9"/>
  <c r="K8" i="9"/>
  <c r="O14" i="9"/>
  <c r="O13" i="9"/>
  <c r="K13" i="9" s="1"/>
  <c r="O10" i="9"/>
  <c r="M8" i="9"/>
  <c r="M14" i="9"/>
  <c r="M22" i="9" s="1"/>
  <c r="O22" i="9" l="1"/>
  <c r="M23" i="9"/>
  <c r="O23" i="9"/>
  <c r="AE61" i="5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K23" i="9" l="1"/>
  <c r="K22" i="9"/>
  <c r="AE22" i="5"/>
  <c r="AE62" i="5" s="1"/>
  <c r="AD39" i="5"/>
  <c r="AD8" i="5"/>
  <c r="Q9" i="8"/>
  <c r="Q29" i="8" s="1"/>
  <c r="Q52" i="8" s="1"/>
  <c r="Q55" i="8" s="1"/>
  <c r="Q60" i="8" s="1"/>
  <c r="AD7" i="5" l="1"/>
  <c r="AD62" i="5" s="1"/>
</calcChain>
</file>

<file path=xl/sharedStrings.xml><?xml version="1.0" encoding="utf-8"?>
<sst xmlns="http://schemas.openxmlformats.org/spreadsheetml/2006/main" count="490" uniqueCount="345">
  <si>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</si>
  <si>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</si>
  <si>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</si>
  <si>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</si>
  <si>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</si>
  <si>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</si>
  <si>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</si>
  <si>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</si>
  <si>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</si>
  <si>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</si>
  <si>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</si>
  <si>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</si>
  <si>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</si>
  <si>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</si>
  <si>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</si>
  <si>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</si>
  <si>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</si>
  <si>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</si>
  <si>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</si>
  <si>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</si>
  <si>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</si>
  <si>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</si>
  <si>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</si>
  <si>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</si>
  <si>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</si>
  <si>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</si>
  <si>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</si>
  <si>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</si>
  <si>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</si>
  <si>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</si>
  <si>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</si>
  <si>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</si>
  <si>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</si>
  <si>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</si>
  <si>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</si>
  <si>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</si>
  <si>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</si>
  <si>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</si>
  <si>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</si>
  <si>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</si>
  <si>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</si>
  <si>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</si>
  <si>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</si>
  <si>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</si>
  <si>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</si>
  <si>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</si>
  <si>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</si>
  <si>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</si>
  <si>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</si>
  <si>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</si>
  <si>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</si>
  <si>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</si>
  <si>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</si>
  <si>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</si>
  <si>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</si>
  <si>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</si>
  <si>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</si>
  <si>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</si>
  <si>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</si>
  <si>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</si>
  <si>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</si>
  <si>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</si>
  <si>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</si>
  <si>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</si>
  <si>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</si>
  <si>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</si>
  <si>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</si>
  <si>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</si>
  <si>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</si>
  <si>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</si>
  <si>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</si>
  <si>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</si>
  <si>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</si>
  <si>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</si>
  <si>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</si>
  <si>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</si>
  <si>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</si>
  <si>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</si>
  <si>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</si>
  <si>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</si>
  <si>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</si>
  <si>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</si>
  <si>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</si>
  <si>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</si>
  <si>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</si>
  <si>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</si>
  <si>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</si>
  <si>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</si>
  <si>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</si>
  <si>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</si>
  <si>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</si>
  <si>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</si>
  <si>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</si>
  <si>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</si>
  <si>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</si>
  <si>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</si>
  <si>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</si>
  <si>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</si>
  <si>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</si>
  <si>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</si>
  <si>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</si>
  <si>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</si>
  <si>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</si>
  <si>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</si>
  <si>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</si>
  <si>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</si>
  <si>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</si>
  <si>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</si>
  <si>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</si>
  <si>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</si>
  <si>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</si>
  <si>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</si>
  <si>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</si>
  <si>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</si>
  <si>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</si>
  <si>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</si>
  <si>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</si>
  <si>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</si>
  <si>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</si>
  <si>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</si>
  <si>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</si>
  <si>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</si>
  <si>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</si>
  <si>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</si>
  <si>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</si>
  <si>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</si>
  <si>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</si>
  <si>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</si>
  <si>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</si>
  <si>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</si>
  <si>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</si>
  <si>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</si>
  <si>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</si>
  <si>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</si>
  <si>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</si>
  <si>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</si>
  <si>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</si>
  <si>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</si>
  <si>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</si>
  <si>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</si>
  <si>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</si>
  <si>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</si>
  <si>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</si>
  <si>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</si>
  <si>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</si>
  <si>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</si>
  <si>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</si>
  <si>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</si>
  <si>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</si>
  <si>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</si>
  <si>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</si>
  <si>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</si>
  <si>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</si>
  <si>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</si>
  <si>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</si>
  <si>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</si>
  <si>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</si>
  <si>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</si>
  <si>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</si>
  <si>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</si>
  <si>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</si>
  <si>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</si>
  <si>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</si>
  <si>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</si>
  <si>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</si>
  <si>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</si>
  <si>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</si>
  <si>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</si>
  <si>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</si>
  <si>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</si>
  <si>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</si>
  <si>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</si>
  <si>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</si>
  <si>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</si>
  <si>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</si>
  <si>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</si>
  <si>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</si>
  <si>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</si>
  <si>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</si>
  <si>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</si>
  <si>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</si>
  <si>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</si>
  <si>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</si>
  <si>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</si>
  <si>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</si>
  <si>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</si>
  <si>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</si>
  <si>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</si>
  <si>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</si>
  <si>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</si>
  <si>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</si>
  <si>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</si>
  <si>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</si>
  <si>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</si>
  <si>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</si>
  <si>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</si>
  <si>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</si>
  <si>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</si>
  <si>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</si>
  <si>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</si>
  <si>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</si>
  <si>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</si>
  <si>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</si>
  <si>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</si>
  <si>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</si>
  <si>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</si>
  <si>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</si>
  <si>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</si>
  <si>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</si>
  <si>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</si>
  <si>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</si>
  <si>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</si>
  <si>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</si>
  <si>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</si>
  <si>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</si>
  <si>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</si>
  <si>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</si>
  <si>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</si>
  <si>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</si>
  <si>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</si>
  <si>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</si>
  <si>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</si>
  <si>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</si>
  <si>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</si>
  <si>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</si>
  <si>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</si>
  <si>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</si>
  <si>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</si>
  <si>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</si>
  <si>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</si>
  <si>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</si>
  <si>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</si>
  <si>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</si>
  <si>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</si>
  <si>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</si>
  <si>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</si>
  <si>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</si>
  <si>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</si>
  <si>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</si>
  <si>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</si>
  <si>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</si>
  <si>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</si>
  <si>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</si>
  <si>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</si>
  <si>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</si>
  <si>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</si>
  <si>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</si>
  <si>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</si>
  <si>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</si>
  <si>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</si>
  <si>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</si>
  <si>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</si>
  <si>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</si>
  <si>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</si>
  <si>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</si>
  <si>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</si>
  <si>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</si>
  <si>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</si>
  <si>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</si>
  <si>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</si>
  <si>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</si>
  <si>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</si>
  <si>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</si>
  <si>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</si>
  <si>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</si>
  <si>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</si>
  <si>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</si>
  <si>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</si>
  <si>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</si>
  <si>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</si>
  <si>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</si>
  <si>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</si>
  <si>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</si>
  <si>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</si>
  <si>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</si>
  <si>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</si>
  <si>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</si>
  <si>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</si>
  <si>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</si>
  <si>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</si>
  <si>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</si>
  <si>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</si>
  <si>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</si>
  <si>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</si>
  <si>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</si>
  <si>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</si>
  <si>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</si>
  <si>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</si>
  <si>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</si>
  <si>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</si>
  <si>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</si>
  <si>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</si>
  <si>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</si>
  <si>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</si>
  <si>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</si>
  <si>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</si>
  <si>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</si>
  <si>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</si>
  <si>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</si>
  <si>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</si>
  <si>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</si>
  <si>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</si>
  <si>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</si>
  <si>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</si>
  <si>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</si>
  <si>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</si>
  <si>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</si>
  <si>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</si>
  <si>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</si>
  <si>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</si>
  <si>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</si>
  <si>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</si>
  <si>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</si>
  <si>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</si>
  <si>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</si>
  <si>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</si>
  <si>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</si>
  <si>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</si>
  <si>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</si>
  <si>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</si>
  <si>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</si>
  <si>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</si>
  <si>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</si>
  <si>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</si>
  <si>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</si>
  <si>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</si>
  <si>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</si>
  <si>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</si>
  <si>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</si>
  <si>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</si>
  <si>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</si>
  <si>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</si>
  <si>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</si>
  <si>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</si>
  <si>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</si>
  <si>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</si>
  <si>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</si>
  <si>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</si>
  <si>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</si>
  <si>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-</t>
    <phoneticPr fontId="11"/>
  </si>
  <si>
    <t>（令和３年３月３１日現在）</t>
  </si>
  <si>
    <t>塩尻市一般会計貸借対照表</t>
    <rPh sb="0" eb="3">
      <t>シオジリシ</t>
    </rPh>
    <rPh sb="3" eb="5">
      <t>イッパン</t>
    </rPh>
    <rPh sb="5" eb="7">
      <t>カイケイ</t>
    </rPh>
    <phoneticPr fontId="2"/>
  </si>
  <si>
    <t>塩尻市一般会計行政コスト計算書</t>
    <phoneticPr fontId="11"/>
  </si>
  <si>
    <t>塩尻市一般会計純資産変動計算書</t>
    <phoneticPr fontId="11"/>
  </si>
  <si>
    <t>塩尻市一般会計資金収支計算書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</si>
</sst>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5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79998168889431442"/>
    <pageSetUpPr fitToPage="1"/>
  </sheetPr>
  <dimension ref="A1:AE73"/>
  <sheetViews>
    <sheetView showGridLines="0" tabSelected="1" view="pageBreakPreview" topLeftCell="C1" zoomScale="85" zoomScaleNormal="85" zoomScaleSheetLayoutView="85" workbookViewId="0">
      <selection activeCell="AH38" sqref="AH38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5" t="s">
        <v>341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31" ht="21" customHeight="1" x14ac:dyDescent="0.15">
      <c r="D3" s="226" t="s">
        <v>340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27" t="s">
        <v>0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 t="s">
        <v>316</v>
      </c>
      <c r="Q5" s="231"/>
      <c r="R5" s="228" t="s">
        <v>0</v>
      </c>
      <c r="S5" s="228"/>
      <c r="T5" s="228"/>
      <c r="U5" s="228"/>
      <c r="V5" s="228"/>
      <c r="W5" s="228"/>
      <c r="X5" s="228"/>
      <c r="Y5" s="228"/>
      <c r="Z5" s="230" t="s">
        <v>316</v>
      </c>
      <c r="AA5" s="23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0"/>
      <c r="P6" s="2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0"/>
      <c r="P7" s="25">
        <v>108457186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>
        <v>31033298</v>
      </c>
      <c r="AA7" s="27"/>
      <c r="AD7" s="9">
        <f>IF(AND(AD8="-",AD36="-",AD39="-"),"-",SUM(AD8,AD36,AD39))</f>
        <v>108457185642</v>
      </c>
      <c r="AE7" s="9">
        <f>IF(COUNTIF(AE8:AE12,"-")=COUNTA(AE8:AE12),"-",SUM(AE8:AE12))</f>
        <v>31006297561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0"/>
      <c r="P8" s="25">
        <v>104454585</v>
      </c>
      <c r="Q8" s="26" t="s">
        <v>338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25853900</v>
      </c>
      <c r="AA8" s="27"/>
      <c r="AD8" s="9">
        <f>IF(AND(AD9="-",AD25="-",COUNTIF(AD34:AD35,"-")=COUNTA(AD34:AD35)),"-",SUM(AD9,AD25,AD34:AD35))</f>
        <v>104454584598</v>
      </c>
      <c r="AE8" s="9">
        <v>25853899718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0"/>
      <c r="P9" s="25">
        <v>62157760</v>
      </c>
      <c r="Q9" s="26" t="s">
        <v>338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913176</v>
      </c>
      <c r="AA9" s="27"/>
      <c r="AD9" s="9">
        <f>IF(COUNTIF(AD10:AD24,"-")=COUNTA(AD10:AD24),"-",SUM(AD10:AD24))</f>
        <v>62157759855</v>
      </c>
      <c r="AE9" s="9">
        <v>913175782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0"/>
      <c r="P10" s="25">
        <v>27846554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3449822</v>
      </c>
      <c r="AA10" s="27"/>
      <c r="AD10" s="9">
        <v>27846554184</v>
      </c>
      <c r="AE10" s="9">
        <v>3449822156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0"/>
      <c r="P11" s="25">
        <v>3215509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472820</v>
      </c>
      <c r="AA11" s="27"/>
      <c r="AD11" s="9">
        <v>3215508600</v>
      </c>
      <c r="AE11" s="9">
        <v>445820000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0"/>
      <c r="P12" s="25">
        <v>60080805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343580</v>
      </c>
      <c r="AA12" s="27"/>
      <c r="AD12" s="9">
        <v>60080805056</v>
      </c>
      <c r="AE12" s="9">
        <v>343579905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0"/>
      <c r="P13" s="25">
        <v>-30714654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3708860</v>
      </c>
      <c r="AA13" s="27"/>
      <c r="AD13" s="9">
        <v>-30714653682</v>
      </c>
      <c r="AE13" s="9">
        <f>IF(COUNTIF(AE14:AE21,"-")=COUNTA(AE14:AE21),"-",SUM(AE14:AE21))</f>
        <v>3708860440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0"/>
      <c r="P14" s="25">
        <v>6848919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2870743</v>
      </c>
      <c r="AA14" s="27"/>
      <c r="AD14" s="9">
        <v>6848919463</v>
      </c>
      <c r="AE14" s="9">
        <v>2870743154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0"/>
      <c r="P15" s="25">
        <v>-5161405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28924</v>
      </c>
      <c r="AA15" s="27"/>
      <c r="AD15" s="9">
        <v>-5161404766</v>
      </c>
      <c r="AE15" s="9">
        <v>28923660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2"/>
      <c r="P16" s="25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334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2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0</v>
      </c>
      <c r="AA17" s="27"/>
      <c r="AD17" s="9" t="s">
        <v>11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2"/>
      <c r="P18" s="25" t="s">
        <v>334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2"/>
      <c r="P19" s="25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308046</v>
      </c>
      <c r="AA19" s="27"/>
      <c r="AD19" s="9" t="s">
        <v>11</v>
      </c>
      <c r="AE19" s="9">
        <v>308046150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2"/>
      <c r="P20" s="25" t="s">
        <v>334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382766</v>
      </c>
      <c r="AA20" s="27"/>
      <c r="AD20" s="9" t="s">
        <v>11</v>
      </c>
      <c r="AE20" s="9">
        <v>382766491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2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118381</v>
      </c>
      <c r="AA21" s="27"/>
      <c r="AD21" s="9" t="s">
        <v>11</v>
      </c>
      <c r="AE21" s="9">
        <v>118380985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0"/>
      <c r="P22" s="25" t="s">
        <v>334</v>
      </c>
      <c r="Q22" s="26"/>
      <c r="R22" s="232" t="s">
        <v>99</v>
      </c>
      <c r="S22" s="233"/>
      <c r="T22" s="233"/>
      <c r="U22" s="233"/>
      <c r="V22" s="233"/>
      <c r="W22" s="233"/>
      <c r="X22" s="233"/>
      <c r="Y22" s="233"/>
      <c r="Z22" s="30">
        <v>34742158</v>
      </c>
      <c r="AA22" s="31"/>
      <c r="AD22" s="9" t="s">
        <v>11</v>
      </c>
      <c r="AE22" s="9">
        <f>IF(AND(AE7="-",AE13="-"),"-",SUM(AE7,AE13))</f>
        <v>34715158001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0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0"/>
      <c r="P24" s="25">
        <v>42031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112579260</v>
      </c>
      <c r="AA24" s="27"/>
      <c r="AD24" s="9">
        <v>42031000</v>
      </c>
      <c r="AE24" s="9">
        <v>112579260440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0"/>
      <c r="P25" s="25">
        <v>41044348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-33053886</v>
      </c>
      <c r="AA25" s="27"/>
      <c r="AD25" s="9">
        <f>IF(COUNTIF(AD26:AD33,"-")=COUNTA(AD26:AD33),"-",SUM(AD26:AD33))</f>
        <v>41044348177</v>
      </c>
      <c r="AE25" s="9">
        <v>-33027193950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0"/>
      <c r="P26" s="25">
        <v>6550967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6550967464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0"/>
      <c r="P27" s="25">
        <v>297344</v>
      </c>
      <c r="Q27" s="26"/>
      <c r="R27" s="234"/>
      <c r="S27" s="235"/>
      <c r="T27" s="235"/>
      <c r="U27" s="235"/>
      <c r="V27" s="235"/>
      <c r="W27" s="235"/>
      <c r="X27" s="235"/>
      <c r="Y27" s="235"/>
      <c r="Z27" s="25"/>
      <c r="AA27" s="27"/>
      <c r="AD27" s="9">
        <v>297344175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0"/>
      <c r="P28" s="25">
        <v>-221958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-221957855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0"/>
      <c r="P29" s="25">
        <v>75890950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75890949938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0"/>
      <c r="P30" s="25">
        <v>-42360814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-42360814442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0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0"/>
      <c r="P32" s="25" t="s">
        <v>334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0"/>
      <c r="P33" s="25">
        <v>887859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887858897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2"/>
      <c r="P34" s="25">
        <v>2941164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2941163530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2"/>
      <c r="P35" s="25">
        <v>-1688687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-1688686964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2"/>
      <c r="P36" s="25">
        <v>94716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94715864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0"/>
      <c r="P37" s="25">
        <v>94716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94715864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0"/>
      <c r="P38" s="25" t="s">
        <v>334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0"/>
      <c r="P39" s="25">
        <v>3907885</v>
      </c>
      <c r="Q39" s="26" t="s">
        <v>338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3907885180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0"/>
      <c r="P40" s="25">
        <v>391172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391171614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0"/>
      <c r="P41" s="25">
        <v>26117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26117000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0"/>
      <c r="P42" s="25">
        <v>365055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365054614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0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0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0"/>
      <c r="P45" s="25">
        <v>170128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170127508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0"/>
      <c r="P46" s="25">
        <v>514282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514282175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0"/>
      <c r="P47" s="25">
        <v>2849318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2849318214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0"/>
      <c r="P48" s="25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0"/>
      <c r="P49" s="25">
        <v>2849318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2849318214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0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0"/>
      <c r="P51" s="25">
        <v>-17014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-17014331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0"/>
      <c r="P52" s="25">
        <v>5810347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5810038849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0"/>
      <c r="P53" s="25">
        <v>1609737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1609428998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0"/>
      <c r="P54" s="25">
        <v>79511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79511336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0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0"/>
      <c r="P56" s="25">
        <v>4122075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4122074798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0"/>
      <c r="P57" s="25">
        <v>3891744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3891744151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0"/>
      <c r="P58" s="25">
        <v>230331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230330647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0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0"/>
      <c r="P60" s="25" t="s">
        <v>334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11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0"/>
      <c r="P61" s="25">
        <v>-976</v>
      </c>
      <c r="Q61" s="26"/>
      <c r="R61" s="236" t="s">
        <v>127</v>
      </c>
      <c r="S61" s="237"/>
      <c r="T61" s="237"/>
      <c r="U61" s="237"/>
      <c r="V61" s="237"/>
      <c r="W61" s="237"/>
      <c r="X61" s="237"/>
      <c r="Y61" s="238"/>
      <c r="Z61" s="40">
        <v>79525374</v>
      </c>
      <c r="AA61" s="41"/>
      <c r="AD61" s="9">
        <v>-976283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9" t="s">
        <v>2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1"/>
      <c r="P62" s="42">
        <v>114267532</v>
      </c>
      <c r="Q62" s="43" t="s">
        <v>338</v>
      </c>
      <c r="R62" s="227" t="s">
        <v>322</v>
      </c>
      <c r="S62" s="228"/>
      <c r="T62" s="228"/>
      <c r="U62" s="228"/>
      <c r="V62" s="228"/>
      <c r="W62" s="228"/>
      <c r="X62" s="228"/>
      <c r="Y62" s="242"/>
      <c r="Z62" s="42">
        <v>114267532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79998168889431442"/>
    <pageSetUpPr fitToPage="1"/>
  </sheetPr>
  <dimension ref="A1:P43"/>
  <sheetViews>
    <sheetView tabSelected="1" view="pageBreakPreview" topLeftCell="B1" zoomScaleNormal="85" zoomScaleSheetLayoutView="100" workbookViewId="0">
      <selection activeCell="AH38" sqref="AH38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3" t="s">
        <v>342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51"/>
    </row>
    <row r="3" spans="1:16" ht="17.25" x14ac:dyDescent="0.2">
      <c r="C3" s="244" t="s">
        <v>335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51"/>
    </row>
    <row r="4" spans="1:16" ht="17.25" x14ac:dyDescent="0.2">
      <c r="C4" s="244" t="s">
        <v>336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6" ht="18" thickBot="1" x14ac:dyDescent="0.25">
      <c r="A6" s="50" t="s">
        <v>314</v>
      </c>
      <c r="C6" s="245" t="s">
        <v>0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 t="s">
        <v>316</v>
      </c>
      <c r="O6" s="248"/>
      <c r="P6" s="51"/>
    </row>
    <row r="7" spans="1:16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32524503</v>
      </c>
      <c r="O7" s="213" t="s">
        <v>338</v>
      </c>
      <c r="P7" s="58"/>
    </row>
    <row r="8" spans="1:16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14390004</v>
      </c>
      <c r="O8" s="213" t="s">
        <v>338</v>
      </c>
      <c r="P8" s="58"/>
    </row>
    <row r="9" spans="1:16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5818134</v>
      </c>
      <c r="O9" s="213"/>
      <c r="P9" s="58"/>
    </row>
    <row r="10" spans="1:16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3720605</v>
      </c>
      <c r="O10" s="213"/>
      <c r="P10" s="58"/>
    </row>
    <row r="11" spans="1:16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308046</v>
      </c>
      <c r="O11" s="213"/>
      <c r="P11" s="58"/>
    </row>
    <row r="12" spans="1:16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292307</v>
      </c>
      <c r="O12" s="213"/>
      <c r="P12" s="58"/>
    </row>
    <row r="13" spans="1:16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1497176</v>
      </c>
      <c r="O13" s="213"/>
      <c r="P13" s="58"/>
    </row>
    <row r="14" spans="1:16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8398579</v>
      </c>
      <c r="O14" s="213"/>
      <c r="P14" s="58"/>
    </row>
    <row r="15" spans="1:16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4667349</v>
      </c>
      <c r="O15" s="213"/>
      <c r="P15" s="58"/>
    </row>
    <row r="16" spans="1:16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368866</v>
      </c>
      <c r="O16" s="213"/>
      <c r="P16" s="58"/>
    </row>
    <row r="17" spans="1:16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3362364</v>
      </c>
      <c r="O17" s="213"/>
      <c r="P17" s="58"/>
    </row>
    <row r="18" spans="1:16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337</v>
      </c>
      <c r="O18" s="213"/>
      <c r="P18" s="58"/>
    </row>
    <row r="19" spans="1:16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173292</v>
      </c>
      <c r="O19" s="213"/>
      <c r="P19" s="58"/>
    </row>
    <row r="20" spans="1:16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114911</v>
      </c>
      <c r="O20" s="213"/>
      <c r="P20" s="58"/>
    </row>
    <row r="21" spans="1:16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8646</v>
      </c>
      <c r="O21" s="213"/>
      <c r="P21" s="58"/>
    </row>
    <row r="22" spans="1:16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49735</v>
      </c>
      <c r="O22" s="213"/>
      <c r="P22" s="58"/>
    </row>
    <row r="23" spans="1:16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18134498</v>
      </c>
      <c r="O23" s="213" t="s">
        <v>338</v>
      </c>
      <c r="P23" s="58"/>
    </row>
    <row r="24" spans="1:16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11982159</v>
      </c>
      <c r="O24" s="213"/>
      <c r="P24" s="58"/>
    </row>
    <row r="25" spans="1:16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3708719</v>
      </c>
      <c r="O25" s="213"/>
      <c r="P25" s="58"/>
    </row>
    <row r="26" spans="1:16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2441978</v>
      </c>
      <c r="O26" s="213"/>
      <c r="P26" s="58"/>
    </row>
    <row r="27" spans="1:16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1643</v>
      </c>
      <c r="O27" s="213"/>
      <c r="P27" s="58"/>
    </row>
    <row r="28" spans="1:16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1234130</v>
      </c>
      <c r="O28" s="213" t="s">
        <v>338</v>
      </c>
      <c r="P28" s="58"/>
    </row>
    <row r="29" spans="1:16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441368</v>
      </c>
      <c r="O29" s="213"/>
      <c r="P29" s="58"/>
    </row>
    <row r="30" spans="1:16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792763</v>
      </c>
      <c r="O30" s="213"/>
      <c r="P30" s="58"/>
    </row>
    <row r="31" spans="1:16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-31290372</v>
      </c>
      <c r="O31" s="214" t="s">
        <v>338</v>
      </c>
      <c r="P31" s="58"/>
    </row>
    <row r="32" spans="1:16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56142</v>
      </c>
      <c r="O32" s="213"/>
      <c r="P32" s="58"/>
    </row>
    <row r="33" spans="1:16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48376</v>
      </c>
      <c r="O33" s="213"/>
      <c r="P33" s="58"/>
    </row>
    <row r="34" spans="1:16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7766</v>
      </c>
      <c r="O34" s="213"/>
      <c r="P34" s="58"/>
    </row>
    <row r="35" spans="1:16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213"/>
      <c r="P35" s="58"/>
    </row>
    <row r="36" spans="1:16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213"/>
      <c r="P36" s="58"/>
    </row>
    <row r="37" spans="1:16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 t="s">
        <v>337</v>
      </c>
      <c r="O37" s="213"/>
      <c r="P37" s="58"/>
    </row>
    <row r="38" spans="1:16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80179</v>
      </c>
      <c r="O38" s="213"/>
      <c r="P38" s="58"/>
    </row>
    <row r="39" spans="1:16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5323</v>
      </c>
      <c r="O39" s="213"/>
      <c r="P39" s="58"/>
    </row>
    <row r="40" spans="1:16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>
        <v>74856</v>
      </c>
      <c r="O40" s="213"/>
      <c r="P40" s="58"/>
    </row>
    <row r="41" spans="1:16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-31266335</v>
      </c>
      <c r="O41" s="215"/>
      <c r="P41" s="58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2:S25"/>
  <sheetViews>
    <sheetView showGridLines="0" tabSelected="1" view="pageBreakPreview" topLeftCell="B1" zoomScaleNormal="85" zoomScaleSheetLayoutView="100" workbookViewId="0">
      <selection activeCell="AH38" sqref="AH38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16384" width="9" style="79"/>
  </cols>
  <sheetData>
    <row r="2" spans="1:18" ht="24" x14ac:dyDescent="0.25">
      <c r="B2" s="78"/>
      <c r="C2" s="251" t="s">
        <v>343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8" ht="17.25" x14ac:dyDescent="0.2">
      <c r="B3" s="80"/>
      <c r="C3" s="252" t="s">
        <v>335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7.25" x14ac:dyDescent="0.2">
      <c r="B4" s="80"/>
      <c r="C4" s="252" t="s">
        <v>336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18" ht="12.75" customHeight="1" x14ac:dyDescent="0.15">
      <c r="B6" s="84"/>
      <c r="C6" s="253" t="s">
        <v>0</v>
      </c>
      <c r="D6" s="254"/>
      <c r="E6" s="254"/>
      <c r="F6" s="254"/>
      <c r="G6" s="254"/>
      <c r="H6" s="254"/>
      <c r="I6" s="254"/>
      <c r="J6" s="255"/>
      <c r="K6" s="259" t="s">
        <v>324</v>
      </c>
      <c r="L6" s="254"/>
      <c r="M6" s="85"/>
      <c r="N6" s="85"/>
      <c r="O6" s="85"/>
      <c r="P6" s="86"/>
      <c r="Q6" s="85"/>
      <c r="R6" s="86"/>
    </row>
    <row r="7" spans="1:18" ht="29.25" customHeight="1" thickBot="1" x14ac:dyDescent="0.2">
      <c r="A7" s="77" t="s">
        <v>314</v>
      </c>
      <c r="B7" s="84"/>
      <c r="C7" s="256"/>
      <c r="D7" s="257"/>
      <c r="E7" s="257"/>
      <c r="F7" s="257"/>
      <c r="G7" s="257"/>
      <c r="H7" s="257"/>
      <c r="I7" s="257"/>
      <c r="J7" s="258"/>
      <c r="K7" s="260"/>
      <c r="L7" s="257"/>
      <c r="M7" s="261" t="s">
        <v>325</v>
      </c>
      <c r="N7" s="262"/>
      <c r="O7" s="261" t="s">
        <v>326</v>
      </c>
      <c r="P7" s="263"/>
      <c r="Q7" s="264" t="s">
        <v>132</v>
      </c>
      <c r="R7" s="265"/>
    </row>
    <row r="8" spans="1:18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f>M8+O8-1</f>
        <v>79041129</v>
      </c>
      <c r="L8" s="92" t="s">
        <v>338</v>
      </c>
      <c r="M8" s="91">
        <f>111333246+82719</f>
        <v>111415965</v>
      </c>
      <c r="N8" s="93"/>
      <c r="O8" s="91">
        <v>-32374835</v>
      </c>
      <c r="P8" s="95"/>
      <c r="Q8" s="94" t="s">
        <v>337</v>
      </c>
      <c r="R8" s="95"/>
    </row>
    <row r="9" spans="1:18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f>O9</f>
        <v>-31266335</v>
      </c>
      <c r="L9" s="98"/>
      <c r="M9" s="266"/>
      <c r="N9" s="267"/>
      <c r="O9" s="97">
        <f>-31266643+308</f>
        <v>-31266335</v>
      </c>
      <c r="P9" s="103"/>
      <c r="Q9" s="100" t="s">
        <v>337</v>
      </c>
      <c r="R9" s="101"/>
    </row>
    <row r="10" spans="1:18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f>O10</f>
        <v>31289257</v>
      </c>
      <c r="L10" s="98" t="s">
        <v>338</v>
      </c>
      <c r="M10" s="268"/>
      <c r="N10" s="269"/>
      <c r="O10" s="97">
        <f>O11+O12-1</f>
        <v>31289257</v>
      </c>
      <c r="P10" s="103" t="s">
        <v>338</v>
      </c>
      <c r="Q10" s="100" t="s">
        <v>11</v>
      </c>
      <c r="R10" s="103"/>
    </row>
    <row r="11" spans="1:18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f>O11</f>
        <v>18245928</v>
      </c>
      <c r="L11" s="98"/>
      <c r="M11" s="268"/>
      <c r="N11" s="269"/>
      <c r="O11" s="97">
        <v>18245928</v>
      </c>
      <c r="P11" s="103"/>
      <c r="Q11" s="100" t="s">
        <v>337</v>
      </c>
      <c r="R11" s="103"/>
    </row>
    <row r="12" spans="1:18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f>O12</f>
        <v>13043330</v>
      </c>
      <c r="L12" s="110"/>
      <c r="M12" s="270"/>
      <c r="N12" s="271"/>
      <c r="O12" s="109">
        <v>13043330</v>
      </c>
      <c r="P12" s="113"/>
      <c r="Q12" s="112" t="s">
        <v>337</v>
      </c>
      <c r="R12" s="113"/>
    </row>
    <row r="13" spans="1:18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f>O13</f>
        <v>22922</v>
      </c>
      <c r="L13" s="119"/>
      <c r="M13" s="272"/>
      <c r="N13" s="273"/>
      <c r="O13" s="118">
        <f>O9+O10</f>
        <v>22922</v>
      </c>
      <c r="P13" s="121"/>
      <c r="Q13" s="120" t="s">
        <v>11</v>
      </c>
      <c r="R13" s="121"/>
    </row>
    <row r="14" spans="1:18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49"/>
      <c r="L14" s="250"/>
      <c r="M14" s="97">
        <f>SUM(M15:M18)-1</f>
        <v>619254</v>
      </c>
      <c r="N14" s="99" t="s">
        <v>338</v>
      </c>
      <c r="O14" s="97">
        <f>SUM(O15:O18)+1</f>
        <v>-701973</v>
      </c>
      <c r="P14" s="103" t="s">
        <v>338</v>
      </c>
      <c r="Q14" s="280" t="s">
        <v>11</v>
      </c>
      <c r="R14" s="281"/>
    </row>
    <row r="15" spans="1:18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49"/>
      <c r="L15" s="250"/>
      <c r="M15" s="97">
        <v>6189635</v>
      </c>
      <c r="N15" s="99"/>
      <c r="O15" s="97">
        <v>-6189635</v>
      </c>
      <c r="P15" s="103"/>
      <c r="Q15" s="276" t="s">
        <v>11</v>
      </c>
      <c r="R15" s="277"/>
    </row>
    <row r="16" spans="1:18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49"/>
      <c r="L16" s="250"/>
      <c r="M16" s="97">
        <f>-5253975-82719</f>
        <v>-5336694</v>
      </c>
      <c r="N16" s="99"/>
      <c r="O16" s="223">
        <f>5253975</f>
        <v>5253975</v>
      </c>
      <c r="P16" s="103"/>
      <c r="Q16" s="276" t="s">
        <v>11</v>
      </c>
      <c r="R16" s="277"/>
    </row>
    <row r="17" spans="1:19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49"/>
      <c r="L17" s="250"/>
      <c r="M17" s="97">
        <v>486361</v>
      </c>
      <c r="N17" s="99"/>
      <c r="O17" s="97">
        <v>-486361</v>
      </c>
      <c r="P17" s="103"/>
      <c r="Q17" s="276" t="s">
        <v>11</v>
      </c>
      <c r="R17" s="277"/>
    </row>
    <row r="18" spans="1:19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49"/>
      <c r="L18" s="250"/>
      <c r="M18" s="97">
        <v>-720047</v>
      </c>
      <c r="N18" s="99"/>
      <c r="O18" s="97">
        <v>720047</v>
      </c>
      <c r="P18" s="103"/>
      <c r="Q18" s="276" t="s">
        <v>11</v>
      </c>
      <c r="R18" s="277"/>
    </row>
    <row r="19" spans="1:19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 t="s">
        <v>11</v>
      </c>
      <c r="L19" s="98"/>
      <c r="M19" s="97" t="s">
        <v>337</v>
      </c>
      <c r="N19" s="99"/>
      <c r="O19" s="268"/>
      <c r="P19" s="278"/>
      <c r="Q19" s="279" t="s">
        <v>11</v>
      </c>
      <c r="R19" s="278"/>
    </row>
    <row r="20" spans="1:19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f>M20</f>
        <v>544042</v>
      </c>
      <c r="L20" s="98"/>
      <c r="M20" s="97">
        <v>544042</v>
      </c>
      <c r="N20" s="99"/>
      <c r="O20" s="268"/>
      <c r="P20" s="278"/>
      <c r="Q20" s="279" t="s">
        <v>11</v>
      </c>
      <c r="R20" s="278"/>
    </row>
    <row r="21" spans="1:19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 t="s">
        <v>11</v>
      </c>
      <c r="L21" s="110"/>
      <c r="M21" s="109" t="s">
        <v>337</v>
      </c>
      <c r="N21" s="111"/>
      <c r="O21" s="109" t="s">
        <v>337</v>
      </c>
      <c r="P21" s="113"/>
      <c r="Q21" s="274" t="s">
        <v>11</v>
      </c>
      <c r="R21" s="275"/>
      <c r="S21" s="124"/>
    </row>
    <row r="22" spans="1:19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f>M22+O22</f>
        <v>484245</v>
      </c>
      <c r="L22" s="131"/>
      <c r="M22" s="130">
        <f>M14+M20</f>
        <v>1163296</v>
      </c>
      <c r="N22" s="132"/>
      <c r="O22" s="130">
        <f>O13+O14</f>
        <v>-679051</v>
      </c>
      <c r="P22" s="217"/>
      <c r="Q22" s="133" t="s">
        <v>11</v>
      </c>
      <c r="R22" s="134"/>
      <c r="S22" s="124"/>
    </row>
    <row r="23" spans="1:19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f>M23+O23</f>
        <v>79525374</v>
      </c>
      <c r="L23" s="140" t="s">
        <v>338</v>
      </c>
      <c r="M23" s="139">
        <f>M8+M22-1</f>
        <v>112579260</v>
      </c>
      <c r="N23" s="141" t="s">
        <v>338</v>
      </c>
      <c r="O23" s="139">
        <f>O8+O22</f>
        <v>-33053886</v>
      </c>
      <c r="P23" s="218"/>
      <c r="Q23" s="142" t="s">
        <v>11</v>
      </c>
      <c r="R23" s="143"/>
      <c r="S23" s="124"/>
    </row>
    <row r="24" spans="1:19" ht="20.2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19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K14:L14"/>
    <mergeCell ref="C2:R2"/>
    <mergeCell ref="C3:R3"/>
    <mergeCell ref="C4:R4"/>
    <mergeCell ref="C6:J7"/>
    <mergeCell ref="K6:L7"/>
    <mergeCell ref="M7:N7"/>
    <mergeCell ref="O7:P7"/>
    <mergeCell ref="Q7:R7"/>
    <mergeCell ref="M9:N9"/>
    <mergeCell ref="M10:N10"/>
    <mergeCell ref="M11:N11"/>
    <mergeCell ref="M12:N12"/>
    <mergeCell ref="M13:N13"/>
  </mergeCells>
  <phoneticPr fontId="11"/>
  <pageMargins left="0.70866141732283472" right="0.70866141732283472" top="0.39370078740157477" bottom="0.39370078740157477" header="0.51181102362204722" footer="0.51181102362204722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  <pageSetUpPr fitToPage="1"/>
  </sheetPr>
  <dimension ref="A1:Q62"/>
  <sheetViews>
    <sheetView tabSelected="1" view="pageBreakPreview" topLeftCell="B1" zoomScaleNormal="85" zoomScaleSheetLayoutView="100" workbookViewId="0">
      <selection activeCell="AH38" sqref="AH38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1" t="s">
        <v>344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7" s="49" customFormat="1" ht="14.25" x14ac:dyDescent="0.15">
      <c r="A3" s="152"/>
      <c r="B3" s="153"/>
      <c r="C3" s="292" t="s">
        <v>335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7" s="49" customFormat="1" ht="14.25" x14ac:dyDescent="0.15">
      <c r="A4" s="152"/>
      <c r="B4" s="153"/>
      <c r="C4" s="292" t="s">
        <v>336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3" t="s">
        <v>0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316</v>
      </c>
      <c r="N6" s="301"/>
    </row>
    <row r="7" spans="1:17" s="49" customFormat="1" ht="14.25" thickBot="1" x14ac:dyDescent="0.2">
      <c r="A7" s="152" t="s">
        <v>314</v>
      </c>
      <c r="B7" s="153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19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29228473</v>
      </c>
      <c r="N9" s="170"/>
      <c r="O9" s="219"/>
      <c r="Q9" s="49">
        <f>IF(AND(Q10="-",Q15="-"),"-",SUM(Q10,Q15))</f>
        <v>29228472641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11056022</v>
      </c>
      <c r="N10" s="170"/>
      <c r="O10" s="219"/>
      <c r="Q10" s="49">
        <f>IF(COUNTIF(Q11:Q14,"-")=COUNTA(Q11:Q14),"-",SUM(Q11:Q14))</f>
        <v>11056022272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5857013</v>
      </c>
      <c r="N11" s="170"/>
      <c r="O11" s="219"/>
      <c r="Q11" s="49">
        <v>5857013318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5039218</v>
      </c>
      <c r="N12" s="170"/>
      <c r="O12" s="219"/>
      <c r="Q12" s="49">
        <v>5039218009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114911</v>
      </c>
      <c r="N13" s="170"/>
      <c r="O13" s="219"/>
      <c r="Q13" s="49">
        <v>114911381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44880</v>
      </c>
      <c r="N14" s="170"/>
      <c r="O14" s="219"/>
      <c r="Q14" s="49">
        <v>44879564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18172450</v>
      </c>
      <c r="N15" s="170" t="s">
        <v>338</v>
      </c>
      <c r="O15" s="219"/>
      <c r="Q15" s="49">
        <f>IF(COUNTIF(Q16:Q19,"-")=COUNTA(Q16:Q19),"-",SUM(Q16:Q19))</f>
        <v>18172450369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12020111</v>
      </c>
      <c r="N16" s="170"/>
      <c r="O16" s="219"/>
      <c r="Q16" s="49">
        <v>12020111495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3708719</v>
      </c>
      <c r="N17" s="170"/>
      <c r="O17" s="219"/>
      <c r="Q17" s="49">
        <v>3708718528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2441978</v>
      </c>
      <c r="N18" s="174"/>
      <c r="O18" s="219"/>
      <c r="Q18" s="49">
        <v>2441977501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1643</v>
      </c>
      <c r="N19" s="170"/>
      <c r="O19" s="219"/>
      <c r="Q19" s="49">
        <v>1642845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31267635</v>
      </c>
      <c r="N20" s="170" t="s">
        <v>338</v>
      </c>
      <c r="O20" s="219"/>
      <c r="Q20" s="49">
        <f>IF(COUNTIF(Q21:Q24,"-")=COUNTA(Q21:Q24),"-",SUM(Q21:Q24))</f>
        <v>31267583129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18254306</v>
      </c>
      <c r="N21" s="170"/>
      <c r="O21" s="219"/>
      <c r="Q21" s="49">
        <v>18254306390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11782625</v>
      </c>
      <c r="N22" s="170"/>
      <c r="O22" s="219"/>
      <c r="Q22" s="49">
        <v>11782573367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442288</v>
      </c>
      <c r="N23" s="170"/>
      <c r="O23" s="219"/>
      <c r="Q23" s="49">
        <v>442287946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788415</v>
      </c>
      <c r="N24" s="170"/>
      <c r="O24" s="219"/>
      <c r="Q24" s="49">
        <v>788415426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>
        <f>48684-308</f>
        <v>48376</v>
      </c>
      <c r="N25" s="170"/>
      <c r="O25" s="219"/>
      <c r="Q25" s="49">
        <f>IF(COUNTIF(Q26:Q27,"-")=COUNTA(Q26:Q27),"-",SUM(Q26:Q27))</f>
        <v>48683800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>
        <f>48684-308</f>
        <v>48376</v>
      </c>
      <c r="N26" s="170"/>
      <c r="O26" s="219"/>
      <c r="Q26" s="49">
        <v>48683800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224" t="s">
        <v>337</v>
      </c>
      <c r="N27" s="170"/>
      <c r="O27" s="219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 t="s">
        <v>11</v>
      </c>
      <c r="N28" s="170"/>
      <c r="O28" s="219"/>
      <c r="Q28" s="49">
        <v>52000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f>1990479+308</f>
        <v>1990787</v>
      </c>
      <c r="N29" s="182" t="s">
        <v>338</v>
      </c>
      <c r="O29" s="219"/>
      <c r="Q29" s="49">
        <f>IF(COUNTIF(Q9:Q28,"-")=COUNTA(Q9:Q28),"-",SUM(Q20,Q28)-SUM(Q9,Q25))</f>
        <v>1990478688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19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7020733</v>
      </c>
      <c r="N31" s="170"/>
      <c r="O31" s="219"/>
      <c r="Q31" s="49">
        <f>IF(COUNTIF(Q32:Q36,"-")=COUNTA(Q32:Q36),"-",SUM(Q32:Q36))</f>
        <v>7020733092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4193625</v>
      </c>
      <c r="N32" s="170"/>
      <c r="O32" s="219"/>
      <c r="Q32" s="49">
        <v>4193625400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426628</v>
      </c>
      <c r="N33" s="170"/>
      <c r="O33" s="219"/>
      <c r="Q33" s="49">
        <v>426627692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337</v>
      </c>
      <c r="N34" s="170"/>
      <c r="O34" s="219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2400480</v>
      </c>
      <c r="N35" s="170"/>
      <c r="O35" s="219"/>
      <c r="Q35" s="49">
        <v>2400480000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 t="s">
        <v>337</v>
      </c>
      <c r="N36" s="170"/>
      <c r="O36" s="219"/>
      <c r="Q36" s="49" t="s">
        <v>11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4301045</v>
      </c>
      <c r="N37" s="170"/>
      <c r="O37" s="219"/>
      <c r="Q37" s="49">
        <f>IF(COUNTIF(Q38:Q42,"-")=COUNTA(Q38:Q42),"-",SUM(Q38:Q42))</f>
        <v>4301045255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1260704</v>
      </c>
      <c r="N38" s="170"/>
      <c r="O38" s="219"/>
      <c r="Q38" s="49">
        <v>1260704348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629863</v>
      </c>
      <c r="N39" s="170"/>
      <c r="O39" s="219"/>
      <c r="Q39" s="49">
        <v>629863000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2403545</v>
      </c>
      <c r="N40" s="170"/>
      <c r="O40" s="219"/>
      <c r="Q40" s="49">
        <v>2403545300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6933</v>
      </c>
      <c r="N41" s="170"/>
      <c r="O41" s="219"/>
      <c r="Q41" s="49">
        <v>6932607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 t="s">
        <v>337</v>
      </c>
      <c r="N42" s="170"/>
      <c r="O42" s="219"/>
      <c r="Q42" s="49" t="s">
        <v>11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-2719688</v>
      </c>
      <c r="N43" s="182"/>
      <c r="O43" s="219"/>
      <c r="Q43" s="49">
        <f>IF(AND(Q31="-",Q37="-"),"-",SUM(Q37)-SUM(Q31))</f>
        <v>-2719687837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19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2958648</v>
      </c>
      <c r="N45" s="170"/>
      <c r="O45" s="219"/>
      <c r="Q45" s="49">
        <f>IF(COUNTIF(Q46:Q47,"-")=COUNTA(Q46:Q47),"-",SUM(Q46:Q47))</f>
        <v>2958647549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2859718</v>
      </c>
      <c r="N46" s="170"/>
      <c r="O46" s="219"/>
      <c r="Q46" s="49">
        <v>2859717673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>
        <v>98930</v>
      </c>
      <c r="N47" s="170"/>
      <c r="O47" s="219"/>
      <c r="Q47" s="49">
        <v>98929876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4154251</v>
      </c>
      <c r="N48" s="170"/>
      <c r="O48" s="219"/>
      <c r="Q48" s="49">
        <f>IF(COUNTIF(Q49:Q50,"-")=COUNTA(Q49:Q50),"-",SUM(Q49:Q50))</f>
        <v>4154251000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4154251</v>
      </c>
      <c r="N49" s="170"/>
      <c r="O49" s="219"/>
      <c r="Q49" s="49">
        <v>4154251000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337</v>
      </c>
      <c r="N50" s="170"/>
      <c r="O50" s="219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1195603</v>
      </c>
      <c r="N51" s="182"/>
      <c r="O51" s="219"/>
      <c r="Q51" s="49">
        <f>IF(AND(Q45="-",Q48="-"),"-",SUM(Q48)-SUM(Q45))</f>
        <v>1195603451</v>
      </c>
    </row>
    <row r="52" spans="1:17" s="49" customFormat="1" x14ac:dyDescent="0.15">
      <c r="A52" s="1" t="s">
        <v>300</v>
      </c>
      <c r="B52" s="3"/>
      <c r="C52" s="304" t="s">
        <v>301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1">
        <v>466702</v>
      </c>
      <c r="N52" s="182"/>
      <c r="O52" s="219"/>
      <c r="Q52" s="49">
        <f>IF(AND(Q29="-",Q43="-",Q51="-"),"-",SUM(Q29,Q43,Q51))</f>
        <v>466394302</v>
      </c>
    </row>
    <row r="53" spans="1:17" s="49" customFormat="1" ht="14.25" thickBot="1" x14ac:dyDescent="0.2">
      <c r="A53" s="1" t="s">
        <v>302</v>
      </c>
      <c r="B53" s="3"/>
      <c r="C53" s="282" t="s">
        <v>303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1">
        <v>760268</v>
      </c>
      <c r="N53" s="182"/>
      <c r="O53" s="219"/>
      <c r="Q53" s="49">
        <v>760268205</v>
      </c>
    </row>
    <row r="54" spans="1:17" s="49" customFormat="1" ht="14.25" hidden="1" thickBot="1" x14ac:dyDescent="0.2">
      <c r="A54" s="1">
        <v>4435000</v>
      </c>
      <c r="B54" s="3"/>
      <c r="C54" s="285" t="s">
        <v>221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87" t="s">
        <v>337</v>
      </c>
      <c r="N54" s="182"/>
      <c r="O54" s="219"/>
      <c r="Q54" s="49" t="s">
        <v>339</v>
      </c>
    </row>
    <row r="55" spans="1:17" s="49" customFormat="1" ht="14.25" thickBot="1" x14ac:dyDescent="0.2">
      <c r="A55" s="1" t="s">
        <v>304</v>
      </c>
      <c r="B55" s="3"/>
      <c r="C55" s="288" t="s">
        <v>305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88">
        <f>1226663+308</f>
        <v>1226971</v>
      </c>
      <c r="N55" s="189" t="s">
        <v>338</v>
      </c>
      <c r="O55" s="219"/>
      <c r="Q55" s="49">
        <f>IF(COUNTIF(Q52:Q54,"-")=COUNTA(Q52:Q54),"-",SUM(Q52:Q54))</f>
        <v>1226662507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19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406666</v>
      </c>
      <c r="N57" s="196"/>
      <c r="O57" s="219"/>
      <c r="Q57" s="49">
        <v>406665623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-23899</v>
      </c>
      <c r="N58" s="182"/>
      <c r="O58" s="219"/>
      <c r="Q58" s="49">
        <v>-23899132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382766</v>
      </c>
      <c r="N59" s="202" t="s">
        <v>338</v>
      </c>
      <c r="O59" s="219"/>
      <c r="Q59" s="49">
        <f>IF(COUNTIF(Q57:Q58,"-")=COUNTA(Q57:Q58),"-",SUM(Q57:Q58))</f>
        <v>382766491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f>1609429+308</f>
        <v>1609737</v>
      </c>
      <c r="N60" s="189"/>
      <c r="O60" s="219"/>
      <c r="Q60" s="49">
        <f>IF(AND(Q55="-",Q59="-"),"-",SUM(Q55,Q59))</f>
        <v>1609428998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 (修正後)</vt:lpstr>
      <vt:lpstr>資金収支計算書</vt:lpstr>
      <vt:lpstr>行政コスト計算書!Print_Area</vt:lpstr>
      <vt:lpstr>資金収支計算書!Print_Area</vt:lpstr>
      <vt:lpstr>'純資産変動計算書 (修正後)'!Print_Area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2021-08-11T08:03:48Z</cp:lastPrinted>
  <dcterms:created xsi:type="dcterms:W3CDTF">2021-07-08T23:37:17Z</dcterms:created>
  <dcterms:modified xsi:type="dcterms:W3CDTF">2021-09-22T04:15:33Z</dcterms:modified>
</cp:coreProperties>
</file>