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" yWindow="615" windowWidth="18375" windowHeight="8010"/>
  </bookViews>
  <sheets>
    <sheet name="ランキングツール（市内行政区）" sheetId="7" r:id="rId1"/>
    <sheet name="市内行政区統計表" sheetId="5" r:id="rId2"/>
    <sheet name="ランキングツール（長野県市町村）" sheetId="3" r:id="rId3"/>
    <sheet name="長野県市町村統計表" sheetId="2" r:id="rId4"/>
  </sheets>
  <definedNames>
    <definedName name="_xlnm.Print_Area" localSheetId="0">'ランキングツール（市内行政区）'!$A$1:$M$77</definedName>
    <definedName name="_xlnm.Print_Area" localSheetId="2">'ランキングツール（長野県市町村）'!$A$1:$Q$94</definedName>
    <definedName name="_xlnm.Print_Area" localSheetId="1">市内行政区統計表!$A$1:$R$72</definedName>
    <definedName name="_xlnm.Print_Area" localSheetId="3">長野県市町村統計表!$A$2:$Q$83</definedName>
  </definedNames>
  <calcPr calcId="162913"/>
</workbook>
</file>

<file path=xl/calcChain.xml><?xml version="1.0" encoding="utf-8"?>
<calcChain xmlns="http://schemas.openxmlformats.org/spreadsheetml/2006/main">
  <c r="O6" i="2" l="1"/>
  <c r="N6" i="2"/>
  <c r="M6" i="2"/>
  <c r="M7" i="2"/>
  <c r="M8" i="2"/>
  <c r="M9" i="2"/>
  <c r="M10" i="2"/>
  <c r="Q10" i="2" s="1"/>
  <c r="M11" i="2"/>
  <c r="Q11" i="2" s="1"/>
  <c r="M12" i="2"/>
  <c r="M13" i="2"/>
  <c r="M14" i="2"/>
  <c r="M15" i="2"/>
  <c r="M16" i="2"/>
  <c r="Q16" i="2" s="1"/>
  <c r="M17" i="2"/>
  <c r="M18" i="2"/>
  <c r="M19" i="2"/>
  <c r="Q19" i="2" s="1"/>
  <c r="M20" i="2"/>
  <c r="M21" i="2"/>
  <c r="M22" i="2"/>
  <c r="M23" i="2"/>
  <c r="M24" i="2"/>
  <c r="Q24" i="2" s="1"/>
  <c r="M25" i="2"/>
  <c r="M26" i="2"/>
  <c r="M27" i="2"/>
  <c r="Q27" i="2" s="1"/>
  <c r="M28" i="2"/>
  <c r="Q28" i="2" s="1"/>
  <c r="M29" i="2"/>
  <c r="Q29" i="2" s="1"/>
  <c r="M30" i="2"/>
  <c r="M31" i="2"/>
  <c r="M32" i="2"/>
  <c r="M33" i="2"/>
  <c r="M34" i="2"/>
  <c r="M35" i="2"/>
  <c r="Q35" i="2" s="1"/>
  <c r="M36" i="2"/>
  <c r="M37" i="2"/>
  <c r="M38" i="2"/>
  <c r="M39" i="2"/>
  <c r="M40" i="2"/>
  <c r="M41" i="2"/>
  <c r="M42" i="2"/>
  <c r="Q42" i="2" s="1"/>
  <c r="M43" i="2"/>
  <c r="M44" i="2"/>
  <c r="Q44" i="2" s="1"/>
  <c r="M45" i="2"/>
  <c r="Q45" i="2" s="1"/>
  <c r="M46" i="2"/>
  <c r="M47" i="2"/>
  <c r="M48" i="2"/>
  <c r="M49" i="2"/>
  <c r="M50" i="2"/>
  <c r="M51" i="2"/>
  <c r="Q51" i="2" s="1"/>
  <c r="M52" i="2"/>
  <c r="M53" i="2"/>
  <c r="Q53" i="2" s="1"/>
  <c r="M54" i="2"/>
  <c r="M55" i="2"/>
  <c r="M56" i="2"/>
  <c r="M57" i="2"/>
  <c r="Q57" i="2" s="1"/>
  <c r="M58" i="2"/>
  <c r="M59" i="2"/>
  <c r="M60" i="2"/>
  <c r="Q60" i="2" s="1"/>
  <c r="M61" i="2"/>
  <c r="Q61" i="2" s="1"/>
  <c r="M62" i="2"/>
  <c r="M63" i="2"/>
  <c r="M64" i="2"/>
  <c r="Q64" i="2" s="1"/>
  <c r="M65" i="2"/>
  <c r="M66" i="2"/>
  <c r="Q66" i="2" s="1"/>
  <c r="M67" i="2"/>
  <c r="Q67" i="2" s="1"/>
  <c r="M68" i="2"/>
  <c r="M69" i="2"/>
  <c r="Q69" i="2" s="1"/>
  <c r="M70" i="2"/>
  <c r="M71" i="2"/>
  <c r="M72" i="2"/>
  <c r="Q72" i="2" s="1"/>
  <c r="M73" i="2"/>
  <c r="M74" i="2"/>
  <c r="M75" i="2"/>
  <c r="M76" i="2"/>
  <c r="M77" i="2"/>
  <c r="Q77" i="2" s="1"/>
  <c r="M78" i="2"/>
  <c r="M79" i="2"/>
  <c r="M80" i="2"/>
  <c r="M81" i="2"/>
  <c r="M82" i="2"/>
  <c r="M83" i="2"/>
  <c r="Q83" i="2" s="1"/>
  <c r="L6" i="2"/>
  <c r="L7" i="2"/>
  <c r="L8" i="2"/>
  <c r="L9" i="2"/>
  <c r="L10" i="2"/>
  <c r="P10" i="2" s="1"/>
  <c r="L11" i="2"/>
  <c r="L12" i="2"/>
  <c r="P12" i="2" s="1"/>
  <c r="L13" i="2"/>
  <c r="P13" i="2" s="1"/>
  <c r="L14" i="2"/>
  <c r="L15" i="2"/>
  <c r="L16" i="2"/>
  <c r="L17" i="2"/>
  <c r="L18" i="2"/>
  <c r="L19" i="2"/>
  <c r="P19" i="2" s="1"/>
  <c r="L20" i="2"/>
  <c r="P20" i="2" s="1"/>
  <c r="L21" i="2"/>
  <c r="P21" i="2" s="1"/>
  <c r="L22" i="2"/>
  <c r="L23" i="2"/>
  <c r="L24" i="2"/>
  <c r="L25" i="2"/>
  <c r="L26" i="2"/>
  <c r="P26" i="2" s="1"/>
  <c r="L27" i="2"/>
  <c r="L28" i="2"/>
  <c r="P28" i="2" s="1"/>
  <c r="L29" i="2"/>
  <c r="P29" i="2" s="1"/>
  <c r="L30" i="2"/>
  <c r="L31" i="2"/>
  <c r="L32" i="2"/>
  <c r="L33" i="2"/>
  <c r="L34" i="2"/>
  <c r="P34" i="2" s="1"/>
  <c r="L35" i="2"/>
  <c r="L36" i="2"/>
  <c r="P36" i="2" s="1"/>
  <c r="L37" i="2"/>
  <c r="P37" i="2" s="1"/>
  <c r="L38" i="2"/>
  <c r="L39" i="2"/>
  <c r="L40" i="2"/>
  <c r="P40" i="2" s="1"/>
  <c r="L41" i="2"/>
  <c r="L42" i="2"/>
  <c r="P42" i="2" s="1"/>
  <c r="L43" i="2"/>
  <c r="L44" i="2"/>
  <c r="L45" i="2"/>
  <c r="P45" i="2" s="1"/>
  <c r="L46" i="2"/>
  <c r="L47" i="2"/>
  <c r="L48" i="2"/>
  <c r="L49" i="2"/>
  <c r="L50" i="2"/>
  <c r="L51" i="2"/>
  <c r="P51" i="2" s="1"/>
  <c r="L52" i="2"/>
  <c r="L53" i="2"/>
  <c r="P53" i="2" s="1"/>
  <c r="L54" i="2"/>
  <c r="L55" i="2"/>
  <c r="L56" i="2"/>
  <c r="L57" i="2"/>
  <c r="L58" i="2"/>
  <c r="L59" i="2"/>
  <c r="P59" i="2" s="1"/>
  <c r="L60" i="2"/>
  <c r="P60" i="2" s="1"/>
  <c r="L61" i="2"/>
  <c r="P61" i="2" s="1"/>
  <c r="L62" i="2"/>
  <c r="L63" i="2"/>
  <c r="L64" i="2"/>
  <c r="L65" i="2"/>
  <c r="L66" i="2"/>
  <c r="L67" i="2"/>
  <c r="P67" i="2" s="1"/>
  <c r="L68" i="2"/>
  <c r="P68" i="2" s="1"/>
  <c r="L69" i="2"/>
  <c r="P69" i="2" s="1"/>
  <c r="L70" i="2"/>
  <c r="L71" i="2"/>
  <c r="P71" i="2" s="1"/>
  <c r="L72" i="2"/>
  <c r="L73" i="2"/>
  <c r="P73" i="2" s="1"/>
  <c r="L74" i="2"/>
  <c r="L75" i="2"/>
  <c r="P75" i="2" s="1"/>
  <c r="L76" i="2"/>
  <c r="P76" i="2" s="1"/>
  <c r="L77" i="2"/>
  <c r="L78" i="2"/>
  <c r="L79" i="2"/>
  <c r="L80" i="2"/>
  <c r="L81" i="2"/>
  <c r="L82" i="2"/>
  <c r="P82" i="2" s="1"/>
  <c r="L83" i="2"/>
  <c r="K6" i="2"/>
  <c r="K7" i="2"/>
  <c r="K8" i="2"/>
  <c r="K9" i="2"/>
  <c r="O9" i="2" s="1"/>
  <c r="K10" i="2"/>
  <c r="K11" i="2"/>
  <c r="O11" i="2" s="1"/>
  <c r="K12" i="2"/>
  <c r="O12" i="2" s="1"/>
  <c r="K13" i="2"/>
  <c r="O13" i="2" s="1"/>
  <c r="K14" i="2"/>
  <c r="K15" i="2"/>
  <c r="K16" i="2"/>
  <c r="K17" i="2"/>
  <c r="O17" i="2" s="1"/>
  <c r="K18" i="2"/>
  <c r="K19" i="2"/>
  <c r="O19" i="2" s="1"/>
  <c r="K20" i="2"/>
  <c r="O20" i="2" s="1"/>
  <c r="K21" i="2"/>
  <c r="O21" i="2" s="1"/>
  <c r="K22" i="2"/>
  <c r="K23" i="2"/>
  <c r="K24" i="2"/>
  <c r="K25" i="2"/>
  <c r="K26" i="2"/>
  <c r="K27" i="2"/>
  <c r="K28" i="2"/>
  <c r="O28" i="2" s="1"/>
  <c r="K29" i="2"/>
  <c r="K30" i="2"/>
  <c r="K31" i="2"/>
  <c r="K32" i="2"/>
  <c r="K33" i="2"/>
  <c r="K34" i="2"/>
  <c r="K35" i="2"/>
  <c r="K36" i="2"/>
  <c r="O36" i="2" s="1"/>
  <c r="K37" i="2"/>
  <c r="K38" i="2"/>
  <c r="K39" i="2"/>
  <c r="K40" i="2"/>
  <c r="K41" i="2"/>
  <c r="K42" i="2"/>
  <c r="K43" i="2"/>
  <c r="K44" i="2"/>
  <c r="O44" i="2" s="1"/>
  <c r="K45" i="2"/>
  <c r="K46" i="2"/>
  <c r="K47" i="2"/>
  <c r="K48" i="2"/>
  <c r="K49" i="2"/>
  <c r="K50" i="2"/>
  <c r="K51" i="2"/>
  <c r="K52" i="2"/>
  <c r="O52" i="2" s="1"/>
  <c r="K53" i="2"/>
  <c r="K54" i="2"/>
  <c r="K55" i="2"/>
  <c r="K56" i="2"/>
  <c r="K57" i="2"/>
  <c r="K58" i="2"/>
  <c r="K59" i="2"/>
  <c r="K60" i="2"/>
  <c r="O60" i="2" s="1"/>
  <c r="K61" i="2"/>
  <c r="K62" i="2"/>
  <c r="K63" i="2"/>
  <c r="K64" i="2"/>
  <c r="K65" i="2"/>
  <c r="K66" i="2"/>
  <c r="K67" i="2"/>
  <c r="K68" i="2"/>
  <c r="O68" i="2" s="1"/>
  <c r="K69" i="2"/>
  <c r="K70" i="2"/>
  <c r="K71" i="2"/>
  <c r="K72" i="2"/>
  <c r="K73" i="2"/>
  <c r="K74" i="2"/>
  <c r="K75" i="2"/>
  <c r="K76" i="2"/>
  <c r="O76" i="2" s="1"/>
  <c r="K77" i="2"/>
  <c r="K78" i="2"/>
  <c r="K79" i="2"/>
  <c r="K80" i="2"/>
  <c r="K81" i="2"/>
  <c r="K82" i="2"/>
  <c r="K83" i="2"/>
  <c r="J21" i="2"/>
  <c r="N21" i="2" s="1"/>
  <c r="N7" i="2"/>
  <c r="O7" i="2"/>
  <c r="P7" i="2"/>
  <c r="Q7" i="2"/>
  <c r="N8" i="2"/>
  <c r="O8" i="2"/>
  <c r="P8" i="2"/>
  <c r="Q8" i="2"/>
  <c r="N9" i="2"/>
  <c r="P9" i="2"/>
  <c r="Q9" i="2"/>
  <c r="N10" i="2"/>
  <c r="O10" i="2"/>
  <c r="N11" i="2"/>
  <c r="P11" i="2"/>
  <c r="N12" i="2"/>
  <c r="Q12" i="2"/>
  <c r="N13" i="2"/>
  <c r="Q13" i="2"/>
  <c r="N14" i="2"/>
  <c r="O14" i="2"/>
  <c r="P14" i="2"/>
  <c r="Q14" i="2"/>
  <c r="N15" i="2"/>
  <c r="O15" i="2"/>
  <c r="P15" i="2"/>
  <c r="Q15" i="2"/>
  <c r="N16" i="2"/>
  <c r="O16" i="2"/>
  <c r="P16" i="2"/>
  <c r="N17" i="2"/>
  <c r="P17" i="2"/>
  <c r="Q17" i="2"/>
  <c r="N18" i="2"/>
  <c r="O18" i="2"/>
  <c r="P18" i="2"/>
  <c r="Q18" i="2"/>
  <c r="N19" i="2"/>
  <c r="N20" i="2"/>
  <c r="Q20" i="2"/>
  <c r="Q21" i="2"/>
  <c r="N22" i="2"/>
  <c r="O22" i="2"/>
  <c r="P22" i="2"/>
  <c r="Q22" i="2"/>
  <c r="N23" i="2"/>
  <c r="O23" i="2"/>
  <c r="P23" i="2"/>
  <c r="Q23" i="2"/>
  <c r="N24" i="2"/>
  <c r="O24" i="2"/>
  <c r="P24" i="2"/>
  <c r="N25" i="2"/>
  <c r="O25" i="2"/>
  <c r="P25" i="2"/>
  <c r="Q25" i="2"/>
  <c r="N26" i="2"/>
  <c r="O26" i="2"/>
  <c r="Q26" i="2"/>
  <c r="N27" i="2"/>
  <c r="O27" i="2"/>
  <c r="P27" i="2"/>
  <c r="N28" i="2"/>
  <c r="N29" i="2"/>
  <c r="O29" i="2"/>
  <c r="N30" i="2"/>
  <c r="O30" i="2"/>
  <c r="P30" i="2"/>
  <c r="Q30" i="2"/>
  <c r="N31" i="2"/>
  <c r="O31" i="2"/>
  <c r="P31" i="2"/>
  <c r="Q31" i="2"/>
  <c r="N32" i="2"/>
  <c r="O32" i="2"/>
  <c r="P32" i="2"/>
  <c r="Q32" i="2"/>
  <c r="N33" i="2"/>
  <c r="O33" i="2"/>
  <c r="P33" i="2"/>
  <c r="Q33" i="2"/>
  <c r="N34" i="2"/>
  <c r="O34" i="2"/>
  <c r="Q34" i="2"/>
  <c r="N35" i="2"/>
  <c r="O35" i="2"/>
  <c r="P35" i="2"/>
  <c r="N36" i="2"/>
  <c r="Q36" i="2"/>
  <c r="N37" i="2"/>
  <c r="O37" i="2"/>
  <c r="Q37" i="2"/>
  <c r="N38" i="2"/>
  <c r="O38" i="2"/>
  <c r="P38" i="2"/>
  <c r="Q38" i="2"/>
  <c r="N39" i="2"/>
  <c r="O39" i="2"/>
  <c r="P39" i="2"/>
  <c r="Q39" i="2"/>
  <c r="N40" i="2"/>
  <c r="O40" i="2"/>
  <c r="Q40" i="2"/>
  <c r="N41" i="2"/>
  <c r="O41" i="2"/>
  <c r="P41" i="2"/>
  <c r="Q41" i="2"/>
  <c r="N42" i="2"/>
  <c r="O42" i="2"/>
  <c r="N43" i="2"/>
  <c r="O43" i="2"/>
  <c r="P43" i="2"/>
  <c r="Q43" i="2"/>
  <c r="N44" i="2"/>
  <c r="P44" i="2"/>
  <c r="N45" i="2"/>
  <c r="O45" i="2"/>
  <c r="N46" i="2"/>
  <c r="O46" i="2"/>
  <c r="P46" i="2"/>
  <c r="Q46" i="2"/>
  <c r="N47" i="2"/>
  <c r="O47" i="2"/>
  <c r="P47" i="2"/>
  <c r="Q47" i="2"/>
  <c r="N48" i="2"/>
  <c r="O48" i="2"/>
  <c r="P48" i="2"/>
  <c r="Q48" i="2"/>
  <c r="N49" i="2"/>
  <c r="O49" i="2"/>
  <c r="P49" i="2"/>
  <c r="Q49" i="2"/>
  <c r="N50" i="2"/>
  <c r="O50" i="2"/>
  <c r="P50" i="2"/>
  <c r="Q50" i="2"/>
  <c r="N51" i="2"/>
  <c r="O51" i="2"/>
  <c r="N52" i="2"/>
  <c r="P52" i="2"/>
  <c r="Q52" i="2"/>
  <c r="N53" i="2"/>
  <c r="O53" i="2"/>
  <c r="N54" i="2"/>
  <c r="O54" i="2"/>
  <c r="P54" i="2"/>
  <c r="Q54" i="2"/>
  <c r="N55" i="2"/>
  <c r="O55" i="2"/>
  <c r="P55" i="2"/>
  <c r="Q55" i="2"/>
  <c r="N56" i="2"/>
  <c r="O56" i="2"/>
  <c r="P56" i="2"/>
  <c r="Q56" i="2"/>
  <c r="N57" i="2"/>
  <c r="O57" i="2"/>
  <c r="P57" i="2"/>
  <c r="N58" i="2"/>
  <c r="O58" i="2"/>
  <c r="P58" i="2"/>
  <c r="Q58" i="2"/>
  <c r="N59" i="2"/>
  <c r="O59" i="2"/>
  <c r="Q59" i="2"/>
  <c r="N60" i="2"/>
  <c r="N61" i="2"/>
  <c r="O61" i="2"/>
  <c r="N62" i="2"/>
  <c r="O62" i="2"/>
  <c r="P62" i="2"/>
  <c r="Q62" i="2"/>
  <c r="N63" i="2"/>
  <c r="O63" i="2"/>
  <c r="P63" i="2"/>
  <c r="Q63" i="2"/>
  <c r="N64" i="2"/>
  <c r="O64" i="2"/>
  <c r="P64" i="2"/>
  <c r="N65" i="2"/>
  <c r="O65" i="2"/>
  <c r="P65" i="2"/>
  <c r="Q65" i="2"/>
  <c r="N66" i="2"/>
  <c r="O66" i="2"/>
  <c r="P66" i="2"/>
  <c r="N67" i="2"/>
  <c r="O67" i="2"/>
  <c r="N68" i="2"/>
  <c r="Q68" i="2"/>
  <c r="N69" i="2"/>
  <c r="O69" i="2"/>
  <c r="N70" i="2"/>
  <c r="O70" i="2"/>
  <c r="P70" i="2"/>
  <c r="Q70" i="2"/>
  <c r="N71" i="2"/>
  <c r="O71" i="2"/>
  <c r="Q71" i="2"/>
  <c r="N72" i="2"/>
  <c r="O72" i="2"/>
  <c r="P72" i="2"/>
  <c r="N73" i="2"/>
  <c r="O73" i="2"/>
  <c r="Q73" i="2"/>
  <c r="N74" i="2"/>
  <c r="O74" i="2"/>
  <c r="P74" i="2"/>
  <c r="Q74" i="2"/>
  <c r="N75" i="2"/>
  <c r="O75" i="2"/>
  <c r="Q75" i="2"/>
  <c r="N76" i="2"/>
  <c r="Q76" i="2"/>
  <c r="N77" i="2"/>
  <c r="O77" i="2"/>
  <c r="P77" i="2"/>
  <c r="N78" i="2"/>
  <c r="O78" i="2"/>
  <c r="P78" i="2"/>
  <c r="Q78" i="2"/>
  <c r="N79" i="2"/>
  <c r="O79" i="2"/>
  <c r="P79" i="2"/>
  <c r="Q79" i="2"/>
  <c r="N80" i="2"/>
  <c r="O80" i="2"/>
  <c r="P80" i="2"/>
  <c r="Q80" i="2"/>
  <c r="N81" i="2"/>
  <c r="O81" i="2"/>
  <c r="P81" i="2"/>
  <c r="Q81" i="2"/>
  <c r="N82" i="2"/>
  <c r="O82" i="2"/>
  <c r="Q82" i="2"/>
  <c r="N83" i="2"/>
  <c r="O83" i="2"/>
  <c r="P83" i="2"/>
  <c r="P6" i="2"/>
  <c r="Q6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G6" i="2"/>
  <c r="H6" i="2"/>
  <c r="I6" i="2"/>
  <c r="F6" i="2"/>
  <c r="O7" i="5"/>
  <c r="P7" i="5"/>
  <c r="Q7" i="5"/>
  <c r="R7" i="5"/>
  <c r="O8" i="5"/>
  <c r="P8" i="5"/>
  <c r="Q8" i="5"/>
  <c r="R8" i="5"/>
  <c r="O9" i="5"/>
  <c r="P9" i="5"/>
  <c r="Q9" i="5"/>
  <c r="R9" i="5"/>
  <c r="O10" i="5"/>
  <c r="P10" i="5"/>
  <c r="Q10" i="5"/>
  <c r="R10" i="5"/>
  <c r="O11" i="5"/>
  <c r="P11" i="5"/>
  <c r="Q11" i="5"/>
  <c r="R11" i="5"/>
  <c r="O12" i="5"/>
  <c r="P12" i="5"/>
  <c r="Q12" i="5"/>
  <c r="R12" i="5"/>
  <c r="O13" i="5"/>
  <c r="P13" i="5"/>
  <c r="Q13" i="5"/>
  <c r="R13" i="5"/>
  <c r="O14" i="5"/>
  <c r="P14" i="5"/>
  <c r="Q14" i="5"/>
  <c r="R14" i="5"/>
  <c r="O15" i="5"/>
  <c r="P15" i="5"/>
  <c r="Q15" i="5"/>
  <c r="R15" i="5"/>
  <c r="O16" i="5"/>
  <c r="P16" i="5"/>
  <c r="Q16" i="5"/>
  <c r="R16" i="5"/>
  <c r="O17" i="5"/>
  <c r="P17" i="5"/>
  <c r="Q17" i="5"/>
  <c r="R17" i="5"/>
  <c r="O18" i="5"/>
  <c r="P18" i="5"/>
  <c r="Q18" i="5"/>
  <c r="R18" i="5"/>
  <c r="O19" i="5"/>
  <c r="P19" i="5"/>
  <c r="Q19" i="5"/>
  <c r="R19" i="5"/>
  <c r="O20" i="5"/>
  <c r="P20" i="5"/>
  <c r="Q20" i="5"/>
  <c r="R20" i="5"/>
  <c r="O21" i="5"/>
  <c r="P21" i="5"/>
  <c r="Q21" i="5"/>
  <c r="R21" i="5"/>
  <c r="O22" i="5"/>
  <c r="P22" i="5"/>
  <c r="Q22" i="5"/>
  <c r="R22" i="5"/>
  <c r="O23" i="5"/>
  <c r="P23" i="5"/>
  <c r="Q23" i="5"/>
  <c r="R23" i="5"/>
  <c r="O24" i="5"/>
  <c r="P24" i="5"/>
  <c r="Q24" i="5"/>
  <c r="R24" i="5"/>
  <c r="O25" i="5"/>
  <c r="P25" i="5"/>
  <c r="Q25" i="5"/>
  <c r="R25" i="5"/>
  <c r="O26" i="5"/>
  <c r="P26" i="5"/>
  <c r="Q26" i="5"/>
  <c r="R26" i="5"/>
  <c r="O27" i="5"/>
  <c r="P27" i="5"/>
  <c r="Q27" i="5"/>
  <c r="R27" i="5"/>
  <c r="O28" i="5"/>
  <c r="P28" i="5"/>
  <c r="Q28" i="5"/>
  <c r="R28" i="5"/>
  <c r="O29" i="5"/>
  <c r="P29" i="5"/>
  <c r="Q29" i="5"/>
  <c r="R29" i="5"/>
  <c r="O30" i="5"/>
  <c r="P30" i="5"/>
  <c r="Q30" i="5"/>
  <c r="R30" i="5"/>
  <c r="O31" i="5"/>
  <c r="P31" i="5"/>
  <c r="Q31" i="5"/>
  <c r="R31" i="5"/>
  <c r="O32" i="5"/>
  <c r="P32" i="5"/>
  <c r="Q32" i="5"/>
  <c r="R32" i="5"/>
  <c r="O33" i="5"/>
  <c r="P33" i="5"/>
  <c r="Q33" i="5"/>
  <c r="R33" i="5"/>
  <c r="O34" i="5"/>
  <c r="P34" i="5"/>
  <c r="Q34" i="5"/>
  <c r="R34" i="5"/>
  <c r="O35" i="5"/>
  <c r="P35" i="5"/>
  <c r="Q35" i="5"/>
  <c r="R35" i="5"/>
  <c r="O36" i="5"/>
  <c r="P36" i="5"/>
  <c r="Q36" i="5"/>
  <c r="R36" i="5"/>
  <c r="O37" i="5"/>
  <c r="P37" i="5"/>
  <c r="Q37" i="5"/>
  <c r="R37" i="5"/>
  <c r="O38" i="5"/>
  <c r="P38" i="5"/>
  <c r="Q38" i="5"/>
  <c r="R38" i="5"/>
  <c r="O39" i="5"/>
  <c r="P39" i="5"/>
  <c r="Q39" i="5"/>
  <c r="R39" i="5"/>
  <c r="O40" i="5"/>
  <c r="P40" i="5"/>
  <c r="Q40" i="5"/>
  <c r="R40" i="5"/>
  <c r="O41" i="5"/>
  <c r="P41" i="5"/>
  <c r="Q41" i="5"/>
  <c r="R41" i="5"/>
  <c r="O42" i="5"/>
  <c r="P42" i="5"/>
  <c r="Q42" i="5"/>
  <c r="R42" i="5"/>
  <c r="O43" i="5"/>
  <c r="P43" i="5"/>
  <c r="Q43" i="5"/>
  <c r="R43" i="5"/>
  <c r="O44" i="5"/>
  <c r="P44" i="5"/>
  <c r="Q44" i="5"/>
  <c r="R44" i="5"/>
  <c r="O45" i="5"/>
  <c r="P45" i="5"/>
  <c r="Q45" i="5"/>
  <c r="R45" i="5"/>
  <c r="O46" i="5"/>
  <c r="P46" i="5"/>
  <c r="Q46" i="5"/>
  <c r="R46" i="5"/>
  <c r="O47" i="5"/>
  <c r="P47" i="5"/>
  <c r="Q47" i="5"/>
  <c r="R47" i="5"/>
  <c r="O48" i="5"/>
  <c r="P48" i="5"/>
  <c r="Q48" i="5"/>
  <c r="R48" i="5"/>
  <c r="O49" i="5"/>
  <c r="P49" i="5"/>
  <c r="Q49" i="5"/>
  <c r="R49" i="5"/>
  <c r="O50" i="5"/>
  <c r="P50" i="5"/>
  <c r="Q50" i="5"/>
  <c r="R50" i="5"/>
  <c r="O51" i="5"/>
  <c r="P51" i="5"/>
  <c r="Q51" i="5"/>
  <c r="R51" i="5"/>
  <c r="O52" i="5"/>
  <c r="P52" i="5"/>
  <c r="Q52" i="5"/>
  <c r="R52" i="5"/>
  <c r="O53" i="5"/>
  <c r="P53" i="5"/>
  <c r="Q53" i="5"/>
  <c r="R53" i="5"/>
  <c r="O54" i="5"/>
  <c r="P54" i="5"/>
  <c r="Q54" i="5"/>
  <c r="R54" i="5"/>
  <c r="O55" i="5"/>
  <c r="P55" i="5"/>
  <c r="Q55" i="5"/>
  <c r="R55" i="5"/>
  <c r="O56" i="5"/>
  <c r="P56" i="5"/>
  <c r="Q56" i="5"/>
  <c r="R56" i="5"/>
  <c r="O57" i="5"/>
  <c r="P57" i="5"/>
  <c r="Q57" i="5"/>
  <c r="R57" i="5"/>
  <c r="O58" i="5"/>
  <c r="P58" i="5"/>
  <c r="Q58" i="5"/>
  <c r="R58" i="5"/>
  <c r="O59" i="5"/>
  <c r="P59" i="5"/>
  <c r="Q59" i="5"/>
  <c r="R59" i="5"/>
  <c r="O60" i="5"/>
  <c r="P60" i="5"/>
  <c r="Q60" i="5"/>
  <c r="R60" i="5"/>
  <c r="O61" i="5"/>
  <c r="P61" i="5"/>
  <c r="Q61" i="5"/>
  <c r="R61" i="5"/>
  <c r="O62" i="5"/>
  <c r="P62" i="5"/>
  <c r="Q62" i="5"/>
  <c r="R62" i="5"/>
  <c r="O63" i="5"/>
  <c r="P63" i="5"/>
  <c r="Q63" i="5"/>
  <c r="R63" i="5"/>
  <c r="O64" i="5"/>
  <c r="P64" i="5"/>
  <c r="Q64" i="5"/>
  <c r="R64" i="5"/>
  <c r="O65" i="5"/>
  <c r="P65" i="5"/>
  <c r="Q65" i="5"/>
  <c r="R65" i="5"/>
  <c r="O66" i="5"/>
  <c r="P66" i="5"/>
  <c r="Q66" i="5"/>
  <c r="R66" i="5"/>
  <c r="O67" i="5"/>
  <c r="P67" i="5"/>
  <c r="Q67" i="5"/>
  <c r="R67" i="5"/>
  <c r="O68" i="5"/>
  <c r="P68" i="5"/>
  <c r="Q68" i="5"/>
  <c r="R68" i="5"/>
  <c r="O69" i="5"/>
  <c r="P69" i="5"/>
  <c r="Q69" i="5"/>
  <c r="R69" i="5"/>
  <c r="O70" i="5"/>
  <c r="P70" i="5"/>
  <c r="Q70" i="5"/>
  <c r="R70" i="5"/>
  <c r="O71" i="5"/>
  <c r="P71" i="5"/>
  <c r="Q71" i="5"/>
  <c r="R71" i="5"/>
  <c r="O72" i="5"/>
  <c r="P72" i="5"/>
  <c r="Q72" i="5"/>
  <c r="R72" i="5"/>
  <c r="P6" i="5"/>
  <c r="Q6" i="5"/>
  <c r="R6" i="5"/>
  <c r="O6" i="5"/>
  <c r="K7" i="5"/>
  <c r="L7" i="5"/>
  <c r="M7" i="5"/>
  <c r="N7" i="5"/>
  <c r="K8" i="5"/>
  <c r="L8" i="5"/>
  <c r="M8" i="5"/>
  <c r="N8" i="5"/>
  <c r="K9" i="5"/>
  <c r="L9" i="5"/>
  <c r="M9" i="5"/>
  <c r="N9" i="5"/>
  <c r="K10" i="5"/>
  <c r="L10" i="5"/>
  <c r="M10" i="5"/>
  <c r="N10" i="5"/>
  <c r="K11" i="5"/>
  <c r="L11" i="5"/>
  <c r="M11" i="5"/>
  <c r="N11" i="5"/>
  <c r="K12" i="5"/>
  <c r="L12" i="5"/>
  <c r="M12" i="5"/>
  <c r="N12" i="5"/>
  <c r="K13" i="5"/>
  <c r="L13" i="5"/>
  <c r="M13" i="5"/>
  <c r="N13" i="5"/>
  <c r="K14" i="5"/>
  <c r="L14" i="5"/>
  <c r="M14" i="5"/>
  <c r="N14" i="5"/>
  <c r="K15" i="5"/>
  <c r="L15" i="5"/>
  <c r="M15" i="5"/>
  <c r="N15" i="5"/>
  <c r="K16" i="5"/>
  <c r="L16" i="5"/>
  <c r="M16" i="5"/>
  <c r="N16" i="5"/>
  <c r="K17" i="5"/>
  <c r="L17" i="5"/>
  <c r="M17" i="5"/>
  <c r="N17" i="5"/>
  <c r="K18" i="5"/>
  <c r="L18" i="5"/>
  <c r="M18" i="5"/>
  <c r="N18" i="5"/>
  <c r="K19" i="5"/>
  <c r="L19" i="5"/>
  <c r="M19" i="5"/>
  <c r="N19" i="5"/>
  <c r="K20" i="5"/>
  <c r="L20" i="5"/>
  <c r="M20" i="5"/>
  <c r="N20" i="5"/>
  <c r="K21" i="5"/>
  <c r="L21" i="5"/>
  <c r="M21" i="5"/>
  <c r="N21" i="5"/>
  <c r="K22" i="5"/>
  <c r="L22" i="5"/>
  <c r="M22" i="5"/>
  <c r="N22" i="5"/>
  <c r="K23" i="5"/>
  <c r="L23" i="5"/>
  <c r="M23" i="5"/>
  <c r="N23" i="5"/>
  <c r="K24" i="5"/>
  <c r="L24" i="5"/>
  <c r="M24" i="5"/>
  <c r="N24" i="5"/>
  <c r="K25" i="5"/>
  <c r="L25" i="5"/>
  <c r="M25" i="5"/>
  <c r="N25" i="5"/>
  <c r="K26" i="5"/>
  <c r="L26" i="5"/>
  <c r="M26" i="5"/>
  <c r="N26" i="5"/>
  <c r="K27" i="5"/>
  <c r="L27" i="5"/>
  <c r="M27" i="5"/>
  <c r="N27" i="5"/>
  <c r="K28" i="5"/>
  <c r="L28" i="5"/>
  <c r="M28" i="5"/>
  <c r="N28" i="5"/>
  <c r="K29" i="5"/>
  <c r="L29" i="5"/>
  <c r="M29" i="5"/>
  <c r="N29" i="5"/>
  <c r="K30" i="5"/>
  <c r="L30" i="5"/>
  <c r="M30" i="5"/>
  <c r="N30" i="5"/>
  <c r="K31" i="5"/>
  <c r="L31" i="5"/>
  <c r="M31" i="5"/>
  <c r="N31" i="5"/>
  <c r="K32" i="5"/>
  <c r="L32" i="5"/>
  <c r="M32" i="5"/>
  <c r="N32" i="5"/>
  <c r="K33" i="5"/>
  <c r="L33" i="5"/>
  <c r="M33" i="5"/>
  <c r="N33" i="5"/>
  <c r="K34" i="5"/>
  <c r="L34" i="5"/>
  <c r="M34" i="5"/>
  <c r="N34" i="5"/>
  <c r="K35" i="5"/>
  <c r="L35" i="5"/>
  <c r="M35" i="5"/>
  <c r="N35" i="5"/>
  <c r="K36" i="5"/>
  <c r="L36" i="5"/>
  <c r="M36" i="5"/>
  <c r="N36" i="5"/>
  <c r="K37" i="5"/>
  <c r="L37" i="5"/>
  <c r="M37" i="5"/>
  <c r="N37" i="5"/>
  <c r="K38" i="5"/>
  <c r="L38" i="5"/>
  <c r="M38" i="5"/>
  <c r="N38" i="5"/>
  <c r="K39" i="5"/>
  <c r="L39" i="5"/>
  <c r="M39" i="5"/>
  <c r="N39" i="5"/>
  <c r="K40" i="5"/>
  <c r="L40" i="5"/>
  <c r="M40" i="5"/>
  <c r="N40" i="5"/>
  <c r="K41" i="5"/>
  <c r="L41" i="5"/>
  <c r="M41" i="5"/>
  <c r="N41" i="5"/>
  <c r="K42" i="5"/>
  <c r="L42" i="5"/>
  <c r="M42" i="5"/>
  <c r="N42" i="5"/>
  <c r="K43" i="5"/>
  <c r="L43" i="5"/>
  <c r="M43" i="5"/>
  <c r="N43" i="5"/>
  <c r="K44" i="5"/>
  <c r="L44" i="5"/>
  <c r="M44" i="5"/>
  <c r="N44" i="5"/>
  <c r="K45" i="5"/>
  <c r="L45" i="5"/>
  <c r="M45" i="5"/>
  <c r="N45" i="5"/>
  <c r="K46" i="5"/>
  <c r="L46" i="5"/>
  <c r="M46" i="5"/>
  <c r="N46" i="5"/>
  <c r="K47" i="5"/>
  <c r="L47" i="5"/>
  <c r="M47" i="5"/>
  <c r="N47" i="5"/>
  <c r="K48" i="5"/>
  <c r="L48" i="5"/>
  <c r="M48" i="5"/>
  <c r="N48" i="5"/>
  <c r="K49" i="5"/>
  <c r="L49" i="5"/>
  <c r="M49" i="5"/>
  <c r="N49" i="5"/>
  <c r="K50" i="5"/>
  <c r="L50" i="5"/>
  <c r="M50" i="5"/>
  <c r="N50" i="5"/>
  <c r="K51" i="5"/>
  <c r="L51" i="5"/>
  <c r="M51" i="5"/>
  <c r="N51" i="5"/>
  <c r="K52" i="5"/>
  <c r="L52" i="5"/>
  <c r="M52" i="5"/>
  <c r="N52" i="5"/>
  <c r="K53" i="5"/>
  <c r="L53" i="5"/>
  <c r="M53" i="5"/>
  <c r="N53" i="5"/>
  <c r="K54" i="5"/>
  <c r="L54" i="5"/>
  <c r="M54" i="5"/>
  <c r="N54" i="5"/>
  <c r="K55" i="5"/>
  <c r="L55" i="5"/>
  <c r="M55" i="5"/>
  <c r="N55" i="5"/>
  <c r="K56" i="5"/>
  <c r="L56" i="5"/>
  <c r="M56" i="5"/>
  <c r="N56" i="5"/>
  <c r="K57" i="5"/>
  <c r="L57" i="5"/>
  <c r="M57" i="5"/>
  <c r="N57" i="5"/>
  <c r="K58" i="5"/>
  <c r="L58" i="5"/>
  <c r="M58" i="5"/>
  <c r="N58" i="5"/>
  <c r="K59" i="5"/>
  <c r="L59" i="5"/>
  <c r="M59" i="5"/>
  <c r="N59" i="5"/>
  <c r="K60" i="5"/>
  <c r="L60" i="5"/>
  <c r="M60" i="5"/>
  <c r="N60" i="5"/>
  <c r="K61" i="5"/>
  <c r="L61" i="5"/>
  <c r="M61" i="5"/>
  <c r="N61" i="5"/>
  <c r="K62" i="5"/>
  <c r="L62" i="5"/>
  <c r="M62" i="5"/>
  <c r="N62" i="5"/>
  <c r="K63" i="5"/>
  <c r="L63" i="5"/>
  <c r="M63" i="5"/>
  <c r="N63" i="5"/>
  <c r="K64" i="5"/>
  <c r="L64" i="5"/>
  <c r="M64" i="5"/>
  <c r="N64" i="5"/>
  <c r="K65" i="5"/>
  <c r="L65" i="5"/>
  <c r="M65" i="5"/>
  <c r="N65" i="5"/>
  <c r="K66" i="5"/>
  <c r="L66" i="5"/>
  <c r="M66" i="5"/>
  <c r="N66" i="5"/>
  <c r="K67" i="5"/>
  <c r="L67" i="5"/>
  <c r="M67" i="5"/>
  <c r="N67" i="5"/>
  <c r="K68" i="5"/>
  <c r="L68" i="5"/>
  <c r="M68" i="5"/>
  <c r="N68" i="5"/>
  <c r="K69" i="5"/>
  <c r="L69" i="5"/>
  <c r="M69" i="5"/>
  <c r="N69" i="5"/>
  <c r="K70" i="5"/>
  <c r="L70" i="5"/>
  <c r="M70" i="5"/>
  <c r="N70" i="5"/>
  <c r="K71" i="5"/>
  <c r="L71" i="5"/>
  <c r="M71" i="5"/>
  <c r="N71" i="5"/>
  <c r="K72" i="5"/>
  <c r="L72" i="5"/>
  <c r="M72" i="5"/>
  <c r="N72" i="5"/>
  <c r="L6" i="5"/>
  <c r="M6" i="5"/>
  <c r="N6" i="5"/>
  <c r="K6" i="5"/>
  <c r="H6" i="5"/>
  <c r="I6" i="5"/>
  <c r="J6" i="5"/>
  <c r="G6" i="5"/>
  <c r="F8" i="3" l="1"/>
  <c r="G8" i="3" s="1"/>
  <c r="H8" i="3" s="1"/>
  <c r="F9" i="3"/>
  <c r="G9" i="3" s="1"/>
  <c r="H9" i="3" s="1"/>
  <c r="F10" i="3"/>
  <c r="G10" i="3" s="1"/>
  <c r="H10" i="3" s="1"/>
  <c r="F11" i="3"/>
  <c r="G11" i="3" s="1"/>
  <c r="H11" i="3" s="1"/>
  <c r="F12" i="3"/>
  <c r="G12" i="3"/>
  <c r="H12" i="3" s="1"/>
  <c r="F13" i="3"/>
  <c r="G13" i="3" s="1"/>
  <c r="H13" i="3" s="1"/>
  <c r="F7" i="3"/>
  <c r="G7" i="3" s="1"/>
  <c r="H7" i="3" s="1"/>
  <c r="F6" i="3"/>
  <c r="G6" i="3" s="1"/>
  <c r="H6" i="3" s="1"/>
  <c r="F5" i="3"/>
  <c r="G5" i="3" s="1"/>
  <c r="H5" i="3" s="1"/>
  <c r="B4" i="3"/>
  <c r="O3" i="3"/>
  <c r="P3" i="3" s="1"/>
  <c r="Q3" i="3" s="1"/>
  <c r="R3" i="3" s="1"/>
  <c r="J3" i="3"/>
  <c r="K3" i="3" s="1"/>
  <c r="L3" i="3" s="1"/>
  <c r="B3" i="3"/>
  <c r="B4" i="7"/>
  <c r="I8" i="7" s="1"/>
  <c r="F6" i="7"/>
  <c r="G6" i="7" s="1"/>
  <c r="H6" i="7" s="1"/>
  <c r="F7" i="7"/>
  <c r="G7" i="7" s="1"/>
  <c r="H7" i="7" s="1"/>
  <c r="F5" i="7"/>
  <c r="G5" i="7" s="1"/>
  <c r="H5" i="7" s="1"/>
  <c r="G10" i="7"/>
  <c r="B10" i="7"/>
  <c r="B3" i="7"/>
  <c r="I15" i="3" l="1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6" i="5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J3" i="7" l="1"/>
  <c r="K3" i="7" s="1"/>
  <c r="L3" i="7" s="1"/>
  <c r="U1" i="5"/>
  <c r="I11" i="7"/>
  <c r="D11" i="7"/>
  <c r="N3" i="7"/>
  <c r="O3" i="7" s="1"/>
  <c r="P3" i="7" s="1"/>
  <c r="Q3" i="7" s="1"/>
  <c r="U7" i="5" l="1"/>
  <c r="U6" i="5"/>
  <c r="U13" i="5"/>
  <c r="U19" i="5"/>
  <c r="U25" i="5"/>
  <c r="U31" i="5"/>
  <c r="U37" i="5"/>
  <c r="U43" i="5"/>
  <c r="U49" i="5"/>
  <c r="U55" i="5"/>
  <c r="U61" i="5"/>
  <c r="U67" i="5"/>
  <c r="U8" i="5"/>
  <c r="U14" i="5"/>
  <c r="U20" i="5"/>
  <c r="U26" i="5"/>
  <c r="U32" i="5"/>
  <c r="U38" i="5"/>
  <c r="U44" i="5"/>
  <c r="U50" i="5"/>
  <c r="U56" i="5"/>
  <c r="U62" i="5"/>
  <c r="U68" i="5"/>
  <c r="U15" i="5"/>
  <c r="U21" i="5"/>
  <c r="U27" i="5"/>
  <c r="U33" i="5"/>
  <c r="U39" i="5"/>
  <c r="U45" i="5"/>
  <c r="U51" i="5"/>
  <c r="U57" i="5"/>
  <c r="U69" i="5"/>
  <c r="U10" i="5"/>
  <c r="U16" i="5"/>
  <c r="U22" i="5"/>
  <c r="U28" i="5"/>
  <c r="U34" i="5"/>
  <c r="U40" i="5"/>
  <c r="U52" i="5"/>
  <c r="U64" i="5"/>
  <c r="U18" i="5"/>
  <c r="U36" i="5"/>
  <c r="U54" i="5"/>
  <c r="U9" i="5"/>
  <c r="U63" i="5"/>
  <c r="U46" i="5"/>
  <c r="U58" i="5"/>
  <c r="U70" i="5"/>
  <c r="U24" i="5"/>
  <c r="U48" i="5"/>
  <c r="U66" i="5"/>
  <c r="U11" i="5"/>
  <c r="U17" i="5"/>
  <c r="U23" i="5"/>
  <c r="U29" i="5"/>
  <c r="U35" i="5"/>
  <c r="U41" i="5"/>
  <c r="U47" i="5"/>
  <c r="U53" i="5"/>
  <c r="U59" i="5"/>
  <c r="U65" i="5"/>
  <c r="U71" i="5"/>
  <c r="U12" i="5"/>
  <c r="U30" i="5"/>
  <c r="U42" i="5"/>
  <c r="U60" i="5"/>
  <c r="U72" i="5"/>
  <c r="U5" i="5"/>
  <c r="F8" i="7" l="1"/>
  <c r="D8" i="7" s="1"/>
  <c r="F12" i="7"/>
  <c r="C12" i="7" s="1"/>
  <c r="K13" i="7"/>
  <c r="H13" i="7" s="1"/>
  <c r="K19" i="7"/>
  <c r="H19" i="7" s="1"/>
  <c r="K25" i="7"/>
  <c r="H25" i="7" s="1"/>
  <c r="K31" i="7"/>
  <c r="H31" i="7" s="1"/>
  <c r="K37" i="7"/>
  <c r="H37" i="7" s="1"/>
  <c r="K43" i="7"/>
  <c r="H43" i="7" s="1"/>
  <c r="K49" i="7"/>
  <c r="H49" i="7" s="1"/>
  <c r="K55" i="7"/>
  <c r="H55" i="7" s="1"/>
  <c r="K61" i="7"/>
  <c r="H61" i="7" s="1"/>
  <c r="K67" i="7"/>
  <c r="H67" i="7" s="1"/>
  <c r="K73" i="7"/>
  <c r="H73" i="7" s="1"/>
  <c r="K14" i="7"/>
  <c r="H14" i="7" s="1"/>
  <c r="K20" i="7"/>
  <c r="H20" i="7" s="1"/>
  <c r="K26" i="7"/>
  <c r="H26" i="7" s="1"/>
  <c r="K32" i="7"/>
  <c r="H32" i="7" s="1"/>
  <c r="K38" i="7"/>
  <c r="H38" i="7" s="1"/>
  <c r="K44" i="7"/>
  <c r="H44" i="7" s="1"/>
  <c r="K50" i="7"/>
  <c r="H50" i="7" s="1"/>
  <c r="K56" i="7"/>
  <c r="H56" i="7" s="1"/>
  <c r="K62" i="7"/>
  <c r="H62" i="7" s="1"/>
  <c r="K68" i="7"/>
  <c r="H68" i="7" s="1"/>
  <c r="K74" i="7"/>
  <c r="H74" i="7" s="1"/>
  <c r="K27" i="7"/>
  <c r="H27" i="7" s="1"/>
  <c r="K45" i="7"/>
  <c r="H45" i="7" s="1"/>
  <c r="K63" i="7"/>
  <c r="H63" i="7" s="1"/>
  <c r="K75" i="7"/>
  <c r="H75" i="7" s="1"/>
  <c r="K28" i="7"/>
  <c r="H28" i="7" s="1"/>
  <c r="K52" i="7"/>
  <c r="H52" i="7" s="1"/>
  <c r="K64" i="7"/>
  <c r="H64" i="7" s="1"/>
  <c r="K71" i="7"/>
  <c r="H71" i="7" s="1"/>
  <c r="K15" i="7"/>
  <c r="H15" i="7" s="1"/>
  <c r="K46" i="7"/>
  <c r="H46" i="7" s="1"/>
  <c r="K76" i="7"/>
  <c r="H76" i="7" s="1"/>
  <c r="K77" i="7"/>
  <c r="H77" i="7" s="1"/>
  <c r="K16" i="7"/>
  <c r="H16" i="7" s="1"/>
  <c r="K17" i="7"/>
  <c r="H17" i="7" s="1"/>
  <c r="K23" i="7"/>
  <c r="H23" i="7" s="1"/>
  <c r="K29" i="7"/>
  <c r="H29" i="7" s="1"/>
  <c r="K35" i="7"/>
  <c r="H35" i="7" s="1"/>
  <c r="K41" i="7"/>
  <c r="H41" i="7" s="1"/>
  <c r="K47" i="7"/>
  <c r="H47" i="7" s="1"/>
  <c r="K53" i="7"/>
  <c r="H53" i="7" s="1"/>
  <c r="K65" i="7"/>
  <c r="H65" i="7" s="1"/>
  <c r="K18" i="7"/>
  <c r="H18" i="7" s="1"/>
  <c r="K24" i="7"/>
  <c r="H24" i="7" s="1"/>
  <c r="K30" i="7"/>
  <c r="H30" i="7" s="1"/>
  <c r="K36" i="7"/>
  <c r="H36" i="7" s="1"/>
  <c r="K42" i="7"/>
  <c r="H42" i="7" s="1"/>
  <c r="K48" i="7"/>
  <c r="H48" i="7" s="1"/>
  <c r="K54" i="7"/>
  <c r="H54" i="7" s="1"/>
  <c r="K60" i="7"/>
  <c r="H60" i="7" s="1"/>
  <c r="K66" i="7"/>
  <c r="H66" i="7" s="1"/>
  <c r="K72" i="7"/>
  <c r="H72" i="7" s="1"/>
  <c r="K21" i="7"/>
  <c r="H21" i="7" s="1"/>
  <c r="K33" i="7"/>
  <c r="H33" i="7" s="1"/>
  <c r="K39" i="7"/>
  <c r="H39" i="7" s="1"/>
  <c r="K51" i="7"/>
  <c r="H51" i="7" s="1"/>
  <c r="K57" i="7"/>
  <c r="H57" i="7" s="1"/>
  <c r="K69" i="7"/>
  <c r="H69" i="7" s="1"/>
  <c r="K22" i="7"/>
  <c r="H22" i="7" s="1"/>
  <c r="K34" i="7"/>
  <c r="H34" i="7" s="1"/>
  <c r="K40" i="7"/>
  <c r="H40" i="7" s="1"/>
  <c r="K58" i="7"/>
  <c r="H58" i="7" s="1"/>
  <c r="K70" i="7"/>
  <c r="H70" i="7" s="1"/>
  <c r="K59" i="7"/>
  <c r="H59" i="7" s="1"/>
  <c r="K12" i="7"/>
  <c r="H12" i="7" s="1"/>
  <c r="F13" i="7"/>
  <c r="F19" i="7"/>
  <c r="F25" i="7"/>
  <c r="F31" i="7"/>
  <c r="F37" i="7"/>
  <c r="F43" i="7"/>
  <c r="F49" i="7"/>
  <c r="F55" i="7"/>
  <c r="F61" i="7"/>
  <c r="F67" i="7"/>
  <c r="F73" i="7"/>
  <c r="F75" i="7"/>
  <c r="F16" i="7"/>
  <c r="F40" i="7"/>
  <c r="F58" i="7"/>
  <c r="F76" i="7"/>
  <c r="F47" i="7"/>
  <c r="F71" i="7"/>
  <c r="F14" i="7"/>
  <c r="F20" i="7"/>
  <c r="F26" i="7"/>
  <c r="F32" i="7"/>
  <c r="F38" i="7"/>
  <c r="F44" i="7"/>
  <c r="F50" i="7"/>
  <c r="F56" i="7"/>
  <c r="F62" i="7"/>
  <c r="F68" i="7"/>
  <c r="F74" i="7"/>
  <c r="F22" i="7"/>
  <c r="F34" i="7"/>
  <c r="F46" i="7"/>
  <c r="F64" i="7"/>
  <c r="F41" i="7"/>
  <c r="F59" i="7"/>
  <c r="F77" i="7"/>
  <c r="F15" i="7"/>
  <c r="F21" i="7"/>
  <c r="F27" i="7"/>
  <c r="F33" i="7"/>
  <c r="F39" i="7"/>
  <c r="F45" i="7"/>
  <c r="F51" i="7"/>
  <c r="F57" i="7"/>
  <c r="F63" i="7"/>
  <c r="F69" i="7"/>
  <c r="F28" i="7"/>
  <c r="F52" i="7"/>
  <c r="F70" i="7"/>
  <c r="F29" i="7"/>
  <c r="F65" i="7"/>
  <c r="F17" i="7"/>
  <c r="F23" i="7"/>
  <c r="F35" i="7"/>
  <c r="F53" i="7"/>
  <c r="F18" i="7"/>
  <c r="F24" i="7"/>
  <c r="F30" i="7"/>
  <c r="F36" i="7"/>
  <c r="F42" i="7"/>
  <c r="F48" i="7"/>
  <c r="F54" i="7"/>
  <c r="F60" i="7"/>
  <c r="F66" i="7"/>
  <c r="F72" i="7"/>
  <c r="U6" i="2"/>
  <c r="D12" i="7" l="1"/>
  <c r="C72" i="7"/>
  <c r="D72" i="7"/>
  <c r="C48" i="7"/>
  <c r="D48" i="7"/>
  <c r="D53" i="7"/>
  <c r="C53" i="7"/>
  <c r="D29" i="7"/>
  <c r="C29" i="7"/>
  <c r="D63" i="7"/>
  <c r="C63" i="7"/>
  <c r="C27" i="7"/>
  <c r="D27" i="7"/>
  <c r="D41" i="7"/>
  <c r="C41" i="7"/>
  <c r="C50" i="7"/>
  <c r="D50" i="7"/>
  <c r="C14" i="7"/>
  <c r="D14" i="7"/>
  <c r="C58" i="7"/>
  <c r="D58" i="7"/>
  <c r="C43" i="7"/>
  <c r="D43" i="7"/>
  <c r="C42" i="7"/>
  <c r="D42" i="7"/>
  <c r="D35" i="7"/>
  <c r="C35" i="7"/>
  <c r="C70" i="7"/>
  <c r="D70" i="7"/>
  <c r="C57" i="7"/>
  <c r="D57" i="7"/>
  <c r="C21" i="7"/>
  <c r="D21" i="7"/>
  <c r="D44" i="7"/>
  <c r="C44" i="7"/>
  <c r="C40" i="7"/>
  <c r="D40" i="7"/>
  <c r="C73" i="7"/>
  <c r="D73" i="7"/>
  <c r="C37" i="7"/>
  <c r="D37" i="7"/>
  <c r="C36" i="7"/>
  <c r="D36" i="7"/>
  <c r="C52" i="7"/>
  <c r="D52" i="7"/>
  <c r="C51" i="7"/>
  <c r="D51" i="7"/>
  <c r="C15" i="7"/>
  <c r="D15" i="7"/>
  <c r="C64" i="7"/>
  <c r="D64" i="7"/>
  <c r="D74" i="7"/>
  <c r="C74" i="7"/>
  <c r="C38" i="7"/>
  <c r="D38" i="7"/>
  <c r="D71" i="7"/>
  <c r="C71" i="7"/>
  <c r="C16" i="7"/>
  <c r="D16" i="7"/>
  <c r="C67" i="7"/>
  <c r="D67" i="7"/>
  <c r="C31" i="7"/>
  <c r="D31" i="7"/>
  <c r="D23" i="7"/>
  <c r="C23" i="7"/>
  <c r="C30" i="7"/>
  <c r="D30" i="7"/>
  <c r="D17" i="7"/>
  <c r="C17" i="7"/>
  <c r="C45" i="7"/>
  <c r="D45" i="7"/>
  <c r="C46" i="7"/>
  <c r="D46" i="7"/>
  <c r="C68" i="7"/>
  <c r="D68" i="7"/>
  <c r="D32" i="7"/>
  <c r="C32" i="7"/>
  <c r="D47" i="7"/>
  <c r="C47" i="7"/>
  <c r="D75" i="7"/>
  <c r="C75" i="7"/>
  <c r="C61" i="7"/>
  <c r="D61" i="7"/>
  <c r="C25" i="7"/>
  <c r="D25" i="7"/>
  <c r="D66" i="7"/>
  <c r="C66" i="7"/>
  <c r="C28" i="7"/>
  <c r="D28" i="7"/>
  <c r="C60" i="7"/>
  <c r="D60" i="7"/>
  <c r="C24" i="7"/>
  <c r="D24" i="7"/>
  <c r="C39" i="7"/>
  <c r="D39" i="7"/>
  <c r="C77" i="7"/>
  <c r="D77" i="7"/>
  <c r="C34" i="7"/>
  <c r="D34" i="7"/>
  <c r="D62" i="7"/>
  <c r="C62" i="7"/>
  <c r="D26" i="7"/>
  <c r="C26" i="7"/>
  <c r="C55" i="7"/>
  <c r="D55" i="7"/>
  <c r="C19" i="7"/>
  <c r="D19" i="7"/>
  <c r="C54" i="7"/>
  <c r="D54" i="7"/>
  <c r="C18" i="7"/>
  <c r="D18" i="7"/>
  <c r="D65" i="7"/>
  <c r="C65" i="7"/>
  <c r="C69" i="7"/>
  <c r="D69" i="7"/>
  <c r="C33" i="7"/>
  <c r="D33" i="7"/>
  <c r="C59" i="7"/>
  <c r="D59" i="7"/>
  <c r="C22" i="7"/>
  <c r="D22" i="7"/>
  <c r="D56" i="7"/>
  <c r="C56" i="7"/>
  <c r="D20" i="7"/>
  <c r="C20" i="7"/>
  <c r="C76" i="7"/>
  <c r="D76" i="7"/>
  <c r="C49" i="7"/>
  <c r="D49" i="7"/>
  <c r="C13" i="7"/>
  <c r="D13" i="7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L6" i="7" l="1"/>
  <c r="M7" i="7"/>
  <c r="M6" i="7"/>
  <c r="N7" i="7"/>
  <c r="N6" i="7"/>
  <c r="O7" i="7"/>
  <c r="O6" i="7"/>
  <c r="K7" i="7"/>
  <c r="K6" i="7"/>
  <c r="L7" i="7"/>
  <c r="I5" i="7"/>
  <c r="P6" i="7"/>
  <c r="P7" i="7"/>
  <c r="J6" i="7"/>
  <c r="J7" i="7"/>
  <c r="I7" i="7"/>
  <c r="I6" i="7"/>
  <c r="T2" i="2"/>
  <c r="I17" i="3"/>
  <c r="U7" i="2"/>
  <c r="D17" i="3"/>
  <c r="B7" i="7" l="1"/>
  <c r="M14" i="7" s="1"/>
  <c r="B6" i="7"/>
  <c r="M13" i="7" s="1"/>
  <c r="T7" i="2"/>
  <c r="T13" i="2"/>
  <c r="T19" i="2"/>
  <c r="T25" i="2"/>
  <c r="T31" i="2"/>
  <c r="T37" i="2"/>
  <c r="T43" i="2"/>
  <c r="T49" i="2"/>
  <c r="T55" i="2"/>
  <c r="T61" i="2"/>
  <c r="T67" i="2"/>
  <c r="T73" i="2"/>
  <c r="T79" i="2"/>
  <c r="T68" i="2"/>
  <c r="T80" i="2"/>
  <c r="T15" i="2"/>
  <c r="T21" i="2"/>
  <c r="T27" i="2"/>
  <c r="T33" i="2"/>
  <c r="T39" i="2"/>
  <c r="T51" i="2"/>
  <c r="T57" i="2"/>
  <c r="T75" i="2"/>
  <c r="T8" i="2"/>
  <c r="T14" i="2"/>
  <c r="T20" i="2"/>
  <c r="T26" i="2"/>
  <c r="T32" i="2"/>
  <c r="T38" i="2"/>
  <c r="T44" i="2"/>
  <c r="T50" i="2"/>
  <c r="T56" i="2"/>
  <c r="T62" i="2"/>
  <c r="T74" i="2"/>
  <c r="T45" i="2"/>
  <c r="T63" i="2"/>
  <c r="T81" i="2"/>
  <c r="T10" i="2"/>
  <c r="T16" i="2"/>
  <c r="T22" i="2"/>
  <c r="T28" i="2"/>
  <c r="T34" i="2"/>
  <c r="T40" i="2"/>
  <c r="T46" i="2"/>
  <c r="T58" i="2"/>
  <c r="T64" i="2"/>
  <c r="T76" i="2"/>
  <c r="T17" i="2"/>
  <c r="T29" i="2"/>
  <c r="T35" i="2"/>
  <c r="T47" i="2"/>
  <c r="T59" i="2"/>
  <c r="T71" i="2"/>
  <c r="T83" i="2"/>
  <c r="T24" i="2"/>
  <c r="T30" i="2"/>
  <c r="T54" i="2"/>
  <c r="T66" i="2"/>
  <c r="T6" i="2"/>
  <c r="F15" i="3" s="1"/>
  <c r="D15" i="3" s="1"/>
  <c r="T9" i="2"/>
  <c r="T69" i="2"/>
  <c r="T52" i="2"/>
  <c r="T70" i="2"/>
  <c r="T82" i="2"/>
  <c r="T23" i="2"/>
  <c r="T41" i="2"/>
  <c r="T53" i="2"/>
  <c r="T65" i="2"/>
  <c r="T77" i="2"/>
  <c r="T18" i="2"/>
  <c r="T42" i="2"/>
  <c r="T60" i="2"/>
  <c r="T72" i="2"/>
  <c r="T36" i="2"/>
  <c r="T11" i="2"/>
  <c r="T48" i="2"/>
  <c r="T12" i="2"/>
  <c r="T78" i="2"/>
  <c r="J5" i="7"/>
  <c r="K5" i="7" s="1"/>
  <c r="L5" i="7" s="1"/>
  <c r="M5" i="7" s="1"/>
  <c r="N5" i="7" s="1"/>
  <c r="B5" i="7" l="1"/>
  <c r="O5" i="7"/>
  <c r="I12" i="3"/>
  <c r="I11" i="3"/>
  <c r="I9" i="3"/>
  <c r="I8" i="3"/>
  <c r="I6" i="3"/>
  <c r="I5" i="3"/>
  <c r="F18" i="3"/>
  <c r="D18" i="3" s="1"/>
  <c r="T5" i="2"/>
  <c r="P5" i="7" l="1"/>
  <c r="M12" i="7" s="1"/>
  <c r="M15" i="7" s="1"/>
  <c r="J12" i="3"/>
  <c r="K12" i="3" s="1"/>
  <c r="L12" i="3" s="1"/>
  <c r="M12" i="3" s="1"/>
  <c r="N12" i="3" s="1"/>
  <c r="O12" i="3" s="1"/>
  <c r="P12" i="3" s="1"/>
  <c r="B12" i="3"/>
  <c r="P19" i="3" s="1"/>
  <c r="J9" i="3"/>
  <c r="K9" i="3" s="1"/>
  <c r="L9" i="3" s="1"/>
  <c r="M9" i="3" s="1"/>
  <c r="N9" i="3" s="1"/>
  <c r="O9" i="3" s="1"/>
  <c r="P9" i="3" s="1"/>
  <c r="B9" i="3"/>
  <c r="O19" i="3" s="1"/>
  <c r="J11" i="3"/>
  <c r="K11" i="3" s="1"/>
  <c r="L11" i="3" s="1"/>
  <c r="M11" i="3" s="1"/>
  <c r="N11" i="3" s="1"/>
  <c r="O11" i="3" s="1"/>
  <c r="P11" i="3" s="1"/>
  <c r="I13" i="3"/>
  <c r="J8" i="3"/>
  <c r="K8" i="3" s="1"/>
  <c r="L8" i="3" s="1"/>
  <c r="M8" i="3" s="1"/>
  <c r="N8" i="3" s="1"/>
  <c r="O8" i="3" s="1"/>
  <c r="P8" i="3" s="1"/>
  <c r="I10" i="3"/>
  <c r="J5" i="3"/>
  <c r="K5" i="3" s="1"/>
  <c r="L5" i="3" s="1"/>
  <c r="M5" i="3" s="1"/>
  <c r="N5" i="3" s="1"/>
  <c r="O5" i="3" s="1"/>
  <c r="P5" i="3" s="1"/>
  <c r="I7" i="3"/>
  <c r="F19" i="3"/>
  <c r="F37" i="3"/>
  <c r="F55" i="3"/>
  <c r="F67" i="3"/>
  <c r="F20" i="3"/>
  <c r="F26" i="3"/>
  <c r="F32" i="3"/>
  <c r="F38" i="3"/>
  <c r="F44" i="3"/>
  <c r="F50" i="3"/>
  <c r="F56" i="3"/>
  <c r="F62" i="3"/>
  <c r="F68" i="3"/>
  <c r="F74" i="3"/>
  <c r="F80" i="3"/>
  <c r="F86" i="3"/>
  <c r="F92" i="3"/>
  <c r="F93" i="3"/>
  <c r="F64" i="3"/>
  <c r="F82" i="3"/>
  <c r="F94" i="3"/>
  <c r="F35" i="3"/>
  <c r="F59" i="3"/>
  <c r="F77" i="3"/>
  <c r="F79" i="3"/>
  <c r="F21" i="3"/>
  <c r="F27" i="3"/>
  <c r="F33" i="3"/>
  <c r="F39" i="3"/>
  <c r="F45" i="3"/>
  <c r="F51" i="3"/>
  <c r="F57" i="3"/>
  <c r="F63" i="3"/>
  <c r="F69" i="3"/>
  <c r="F75" i="3"/>
  <c r="F81" i="3"/>
  <c r="F87" i="3"/>
  <c r="F52" i="3"/>
  <c r="F70" i="3"/>
  <c r="F88" i="3"/>
  <c r="F29" i="3"/>
  <c r="F47" i="3"/>
  <c r="F71" i="3"/>
  <c r="F73" i="3"/>
  <c r="F22" i="3"/>
  <c r="F28" i="3"/>
  <c r="F34" i="3"/>
  <c r="F40" i="3"/>
  <c r="F46" i="3"/>
  <c r="F58" i="3"/>
  <c r="F76" i="3"/>
  <c r="F23" i="3"/>
  <c r="F41" i="3"/>
  <c r="F53" i="3"/>
  <c r="F65" i="3"/>
  <c r="F89" i="3"/>
  <c r="F91" i="3"/>
  <c r="F83" i="3"/>
  <c r="F24" i="3"/>
  <c r="F30" i="3"/>
  <c r="F36" i="3"/>
  <c r="F42" i="3"/>
  <c r="F48" i="3"/>
  <c r="F54" i="3"/>
  <c r="F60" i="3"/>
  <c r="F66" i="3"/>
  <c r="F72" i="3"/>
  <c r="F78" i="3"/>
  <c r="F84" i="3"/>
  <c r="F90" i="3"/>
  <c r="F25" i="3"/>
  <c r="F31" i="3"/>
  <c r="F43" i="3"/>
  <c r="F49" i="3"/>
  <c r="F61" i="3"/>
  <c r="F85" i="3"/>
  <c r="K21" i="3"/>
  <c r="K25" i="3"/>
  <c r="K61" i="3"/>
  <c r="K20" i="3"/>
  <c r="K56" i="3"/>
  <c r="K92" i="3"/>
  <c r="K51" i="3"/>
  <c r="K87" i="3"/>
  <c r="K46" i="3"/>
  <c r="K82" i="3"/>
  <c r="K41" i="3"/>
  <c r="K77" i="3"/>
  <c r="K42" i="3"/>
  <c r="K78" i="3"/>
  <c r="K31" i="3"/>
  <c r="K67" i="3"/>
  <c r="K26" i="3"/>
  <c r="K62" i="3"/>
  <c r="K57" i="3"/>
  <c r="K93" i="3"/>
  <c r="K52" i="3"/>
  <c r="K88" i="3"/>
  <c r="K47" i="3"/>
  <c r="K83" i="3"/>
  <c r="K48" i="3"/>
  <c r="K84" i="3"/>
  <c r="K37" i="3"/>
  <c r="K73" i="3"/>
  <c r="K32" i="3"/>
  <c r="K68" i="3"/>
  <c r="K27" i="3"/>
  <c r="K63" i="3"/>
  <c r="K22" i="3"/>
  <c r="K58" i="3"/>
  <c r="K94" i="3"/>
  <c r="K53" i="3"/>
  <c r="K89" i="3"/>
  <c r="K54" i="3"/>
  <c r="K90" i="3"/>
  <c r="K43" i="3"/>
  <c r="K79" i="3"/>
  <c r="K38" i="3"/>
  <c r="K74" i="3"/>
  <c r="K33" i="3"/>
  <c r="K69" i="3"/>
  <c r="K28" i="3"/>
  <c r="K64" i="3"/>
  <c r="K23" i="3"/>
  <c r="K59" i="3"/>
  <c r="K24" i="3"/>
  <c r="K60" i="3"/>
  <c r="K18" i="3"/>
  <c r="K49" i="3"/>
  <c r="K85" i="3"/>
  <c r="K44" i="3"/>
  <c r="K80" i="3"/>
  <c r="K39" i="3"/>
  <c r="K75" i="3"/>
  <c r="K34" i="3"/>
  <c r="K70" i="3"/>
  <c r="K29" i="3"/>
  <c r="K65" i="3"/>
  <c r="K30" i="3"/>
  <c r="K66" i="3"/>
  <c r="K19" i="3"/>
  <c r="K55" i="3"/>
  <c r="K91" i="3"/>
  <c r="K50" i="3"/>
  <c r="K86" i="3"/>
  <c r="K45" i="3"/>
  <c r="K81" i="3"/>
  <c r="K40" i="3"/>
  <c r="K76" i="3"/>
  <c r="K35" i="3"/>
  <c r="K71" i="3"/>
  <c r="K36" i="3"/>
  <c r="K72" i="3"/>
  <c r="B11" i="3" l="1"/>
  <c r="P18" i="3" s="1"/>
  <c r="B8" i="3"/>
  <c r="O18" i="3" s="1"/>
  <c r="J13" i="3"/>
  <c r="K13" i="3" s="1"/>
  <c r="L13" i="3" s="1"/>
  <c r="M13" i="3" s="1"/>
  <c r="N13" i="3" s="1"/>
  <c r="O13" i="3" s="1"/>
  <c r="P13" i="3" s="1"/>
  <c r="B13" i="3"/>
  <c r="P20" i="3" s="1"/>
  <c r="J10" i="3"/>
  <c r="K10" i="3" s="1"/>
  <c r="L10" i="3" s="1"/>
  <c r="M10" i="3" s="1"/>
  <c r="N10" i="3" s="1"/>
  <c r="O10" i="3" s="1"/>
  <c r="P10" i="3" s="1"/>
  <c r="I18" i="7"/>
  <c r="I33" i="7"/>
  <c r="I77" i="7"/>
  <c r="I26" i="7"/>
  <c r="I19" i="7"/>
  <c r="I36" i="7"/>
  <c r="I71" i="7"/>
  <c r="I38" i="7"/>
  <c r="I66" i="7"/>
  <c r="I75" i="7"/>
  <c r="I40" i="7"/>
  <c r="I12" i="7"/>
  <c r="I54" i="7"/>
  <c r="I28" i="7"/>
  <c r="I53" i="7"/>
  <c r="I20" i="7"/>
  <c r="I39" i="7"/>
  <c r="I55" i="7"/>
  <c r="I64" i="7"/>
  <c r="I73" i="7"/>
  <c r="I41" i="7"/>
  <c r="I13" i="7"/>
  <c r="I21" i="7"/>
  <c r="I22" i="7"/>
  <c r="I29" i="7"/>
  <c r="I45" i="7"/>
  <c r="I44" i="7"/>
  <c r="I69" i="7"/>
  <c r="I31" i="7"/>
  <c r="I42" i="7"/>
  <c r="I14" i="7"/>
  <c r="I34" i="7"/>
  <c r="I48" i="7"/>
  <c r="I57" i="7"/>
  <c r="I47" i="7"/>
  <c r="I46" i="7"/>
  <c r="I56" i="7"/>
  <c r="I23" i="7"/>
  <c r="I65" i="7"/>
  <c r="I49" i="7"/>
  <c r="I58" i="7"/>
  <c r="I67" i="7"/>
  <c r="I76" i="7"/>
  <c r="I32" i="7"/>
  <c r="I43" i="7"/>
  <c r="I15" i="7"/>
  <c r="I24" i="7"/>
  <c r="I68" i="7"/>
  <c r="I35" i="7"/>
  <c r="I16" i="7"/>
  <c r="I27" i="7"/>
  <c r="I62" i="7"/>
  <c r="I63" i="7"/>
  <c r="I72" i="7"/>
  <c r="I25" i="7"/>
  <c r="I51" i="7"/>
  <c r="I60" i="7"/>
  <c r="I37" i="7"/>
  <c r="I50" i="7"/>
  <c r="I59" i="7"/>
  <c r="I17" i="7"/>
  <c r="I30" i="7"/>
  <c r="I74" i="7"/>
  <c r="I52" i="7"/>
  <c r="I61" i="7"/>
  <c r="I70" i="7"/>
  <c r="C40" i="3"/>
  <c r="C71" i="3"/>
  <c r="C82" i="3"/>
  <c r="C81" i="3"/>
  <c r="C41" i="3"/>
  <c r="C49" i="3"/>
  <c r="C65" i="3"/>
  <c r="C21" i="3"/>
  <c r="C52" i="3"/>
  <c r="C67" i="3"/>
  <c r="C55" i="3"/>
  <c r="C85" i="3"/>
  <c r="C25" i="3"/>
  <c r="C70" i="3"/>
  <c r="C58" i="3"/>
  <c r="C91" i="3"/>
  <c r="C53" i="3"/>
  <c r="C59" i="3"/>
  <c r="C66" i="3"/>
  <c r="C92" i="3"/>
  <c r="C22" i="3"/>
  <c r="C28" i="3"/>
  <c r="C29" i="3"/>
  <c r="C78" i="3"/>
  <c r="C20" i="3"/>
  <c r="C39" i="3"/>
  <c r="C54" i="3"/>
  <c r="C80" i="3"/>
  <c r="C57" i="3"/>
  <c r="C77" i="3"/>
  <c r="C24" i="3"/>
  <c r="C60" i="3"/>
  <c r="C68" i="3"/>
  <c r="C76" i="3"/>
  <c r="C86" i="3"/>
  <c r="C48" i="3"/>
  <c r="C90" i="3"/>
  <c r="C75" i="3"/>
  <c r="C72" i="3"/>
  <c r="C47" i="3"/>
  <c r="C43" i="3"/>
  <c r="C45" i="3"/>
  <c r="C87" i="3"/>
  <c r="C84" i="3"/>
  <c r="C83" i="3"/>
  <c r="C74" i="3"/>
  <c r="C38" i="3"/>
  <c r="C88" i="3"/>
  <c r="C63" i="3"/>
  <c r="C93" i="3"/>
  <c r="C31" i="3"/>
  <c r="C26" i="3"/>
  <c r="C36" i="3"/>
  <c r="C34" i="3"/>
  <c r="C51" i="3"/>
  <c r="C61" i="3"/>
  <c r="C18" i="3"/>
  <c r="C44" i="3"/>
  <c r="C69" i="3"/>
  <c r="C32" i="3"/>
  <c r="C50" i="3"/>
  <c r="C89" i="3"/>
  <c r="C73" i="3"/>
  <c r="C62" i="3"/>
  <c r="C19" i="3"/>
  <c r="C33" i="3"/>
  <c r="C37" i="3"/>
  <c r="C35" i="3"/>
  <c r="C46" i="3"/>
  <c r="C27" i="3"/>
  <c r="C94" i="3"/>
  <c r="C30" i="3"/>
  <c r="C56" i="3"/>
  <c r="C23" i="3"/>
  <c r="C79" i="3"/>
  <c r="C64" i="3"/>
  <c r="C42" i="3"/>
  <c r="H39" i="3"/>
  <c r="H18" i="3"/>
  <c r="H84" i="3"/>
  <c r="H56" i="3"/>
  <c r="H72" i="3"/>
  <c r="H81" i="3"/>
  <c r="H19" i="3"/>
  <c r="H65" i="3"/>
  <c r="H80" i="3"/>
  <c r="H60" i="3"/>
  <c r="H69" i="3"/>
  <c r="H94" i="3"/>
  <c r="H32" i="3"/>
  <c r="H48" i="3"/>
  <c r="H57" i="3"/>
  <c r="H82" i="3"/>
  <c r="H20" i="3"/>
  <c r="H55" i="3"/>
  <c r="H30" i="3"/>
  <c r="H43" i="3"/>
  <c r="H93" i="3"/>
  <c r="H41" i="3"/>
  <c r="H45" i="3"/>
  <c r="H29" i="3"/>
  <c r="H44" i="3"/>
  <c r="H24" i="3"/>
  <c r="H33" i="3"/>
  <c r="H58" i="3"/>
  <c r="H73" i="3"/>
  <c r="H83" i="3"/>
  <c r="H62" i="3"/>
  <c r="H46" i="3"/>
  <c r="H61" i="3"/>
  <c r="H28" i="3"/>
  <c r="H68" i="3"/>
  <c r="H36" i="3"/>
  <c r="H71" i="3"/>
  <c r="H86" i="3"/>
  <c r="H70" i="3"/>
  <c r="H85" i="3"/>
  <c r="H59" i="3"/>
  <c r="H74" i="3"/>
  <c r="H90" i="3"/>
  <c r="H22" i="3"/>
  <c r="H37" i="3"/>
  <c r="H47" i="3"/>
  <c r="H26" i="3"/>
  <c r="H78" i="3"/>
  <c r="H87" i="3"/>
  <c r="H25" i="3"/>
  <c r="H40" i="3"/>
  <c r="H35" i="3"/>
  <c r="H50" i="3"/>
  <c r="H34" i="3"/>
  <c r="H49" i="3"/>
  <c r="H23" i="3"/>
  <c r="H38" i="3"/>
  <c r="H54" i="3"/>
  <c r="H63" i="3"/>
  <c r="H88" i="3"/>
  <c r="H67" i="3"/>
  <c r="H42" i="3"/>
  <c r="H51" i="3"/>
  <c r="H53" i="3"/>
  <c r="H76" i="3"/>
  <c r="H91" i="3"/>
  <c r="H66" i="3"/>
  <c r="H75" i="3"/>
  <c r="H64" i="3"/>
  <c r="H79" i="3"/>
  <c r="H89" i="3"/>
  <c r="H27" i="3"/>
  <c r="H52" i="3"/>
  <c r="H31" i="3"/>
  <c r="H77" i="3"/>
  <c r="H92" i="3"/>
  <c r="H21" i="3"/>
  <c r="D43" i="3"/>
  <c r="D45" i="3"/>
  <c r="I40" i="3"/>
  <c r="I55" i="3"/>
  <c r="D24" i="3"/>
  <c r="D60" i="3"/>
  <c r="I70" i="3"/>
  <c r="I85" i="3"/>
  <c r="D27" i="3"/>
  <c r="D88" i="3"/>
  <c r="D63" i="3"/>
  <c r="I23" i="3"/>
  <c r="I38" i="3"/>
  <c r="D21" i="3"/>
  <c r="D52" i="3"/>
  <c r="D67" i="3"/>
  <c r="I94" i="3"/>
  <c r="I32" i="3"/>
  <c r="D26" i="3"/>
  <c r="D36" i="3"/>
  <c r="D34" i="3"/>
  <c r="I88" i="3"/>
  <c r="I26" i="3"/>
  <c r="D25" i="3"/>
  <c r="D70" i="3"/>
  <c r="D58" i="3"/>
  <c r="I82" i="3"/>
  <c r="I20" i="3"/>
  <c r="D71" i="3"/>
  <c r="D82" i="3"/>
  <c r="I72" i="3"/>
  <c r="I81" i="3"/>
  <c r="I19" i="3"/>
  <c r="D73" i="3"/>
  <c r="D62" i="3"/>
  <c r="I34" i="3"/>
  <c r="I49" i="3"/>
  <c r="D94" i="3"/>
  <c r="I64" i="3"/>
  <c r="I79" i="3"/>
  <c r="D22" i="3"/>
  <c r="D28" i="3"/>
  <c r="I58" i="3"/>
  <c r="I73" i="3"/>
  <c r="D23" i="3"/>
  <c r="D79" i="3"/>
  <c r="I52" i="3"/>
  <c r="I67" i="3"/>
  <c r="D20" i="3"/>
  <c r="D39" i="3"/>
  <c r="I46" i="3"/>
  <c r="I61" i="3"/>
  <c r="D80" i="3"/>
  <c r="D91" i="3"/>
  <c r="I36" i="3"/>
  <c r="I45" i="3"/>
  <c r="D35" i="3"/>
  <c r="D46" i="3"/>
  <c r="I66" i="3"/>
  <c r="I75" i="3"/>
  <c r="D69" i="3"/>
  <c r="D84" i="3"/>
  <c r="I18" i="3"/>
  <c r="I28" i="3"/>
  <c r="I43" i="3"/>
  <c r="D86" i="3"/>
  <c r="D48" i="3"/>
  <c r="I90" i="3"/>
  <c r="I22" i="3"/>
  <c r="I37" i="3"/>
  <c r="D50" i="3"/>
  <c r="D83" i="3"/>
  <c r="I84" i="3"/>
  <c r="I93" i="3"/>
  <c r="I31" i="3"/>
  <c r="D72" i="3"/>
  <c r="D47" i="3"/>
  <c r="I78" i="3"/>
  <c r="I87" i="3"/>
  <c r="I25" i="3"/>
  <c r="D57" i="3"/>
  <c r="I71" i="3"/>
  <c r="D44" i="3"/>
  <c r="I30" i="3"/>
  <c r="D49" i="3"/>
  <c r="I60" i="3"/>
  <c r="D93" i="3"/>
  <c r="I54" i="3"/>
  <c r="D55" i="3"/>
  <c r="I48" i="3"/>
  <c r="D61" i="3"/>
  <c r="I51" i="3"/>
  <c r="D89" i="3"/>
  <c r="D38" i="3"/>
  <c r="I35" i="3"/>
  <c r="I50" i="3"/>
  <c r="D81" i="3"/>
  <c r="D41" i="3"/>
  <c r="I65" i="3"/>
  <c r="I80" i="3"/>
  <c r="D66" i="3"/>
  <c r="D92" i="3"/>
  <c r="I24" i="3"/>
  <c r="I33" i="3"/>
  <c r="D30" i="3"/>
  <c r="D56" i="3"/>
  <c r="I89" i="3"/>
  <c r="I27" i="3"/>
  <c r="D29" i="3"/>
  <c r="D78" i="3"/>
  <c r="I83" i="3"/>
  <c r="I21" i="3"/>
  <c r="D64" i="3"/>
  <c r="D42" i="3"/>
  <c r="I77" i="3"/>
  <c r="I92" i="3"/>
  <c r="D77" i="3"/>
  <c r="I86" i="3"/>
  <c r="D87" i="3"/>
  <c r="I39" i="3"/>
  <c r="D65" i="3"/>
  <c r="I69" i="3"/>
  <c r="D31" i="3"/>
  <c r="I63" i="3"/>
  <c r="D85" i="3"/>
  <c r="I57" i="3"/>
  <c r="D51" i="3"/>
  <c r="I42" i="3"/>
  <c r="D19" i="3"/>
  <c r="D33" i="3"/>
  <c r="D37" i="3"/>
  <c r="I76" i="3"/>
  <c r="I91" i="3"/>
  <c r="D53" i="3"/>
  <c r="D59" i="3"/>
  <c r="I29" i="3"/>
  <c r="I44" i="3"/>
  <c r="D68" i="3"/>
  <c r="D76" i="3"/>
  <c r="I59" i="3"/>
  <c r="I74" i="3"/>
  <c r="D32" i="3"/>
  <c r="D40" i="3"/>
  <c r="I53" i="3"/>
  <c r="I68" i="3"/>
  <c r="D90" i="3"/>
  <c r="D75" i="3"/>
  <c r="I47" i="3"/>
  <c r="I62" i="3"/>
  <c r="D54" i="3"/>
  <c r="D74" i="3"/>
  <c r="I41" i="3"/>
  <c r="I56" i="3"/>
  <c r="B10" i="3" l="1"/>
  <c r="O20" i="3" s="1"/>
  <c r="Q7" i="3"/>
  <c r="Q6" i="3"/>
  <c r="J7" i="3" l="1"/>
  <c r="K7" i="3" s="1"/>
  <c r="L7" i="3" s="1"/>
  <c r="M7" i="3" s="1"/>
  <c r="N7" i="3" s="1"/>
  <c r="O7" i="3" s="1"/>
  <c r="P7" i="3" s="1"/>
  <c r="J6" i="3"/>
  <c r="K6" i="3" s="1"/>
  <c r="L6" i="3" s="1"/>
  <c r="M6" i="3" s="1"/>
  <c r="N6" i="3" s="1"/>
  <c r="O6" i="3" s="1"/>
  <c r="P6" i="3" s="1"/>
  <c r="Q5" i="3"/>
  <c r="B5" i="3"/>
  <c r="N18" i="3" s="1"/>
  <c r="M18" i="3" s="1"/>
  <c r="B6" i="3" l="1"/>
  <c r="N19" i="3" s="1"/>
  <c r="M19" i="3" s="1"/>
  <c r="B7" i="3"/>
  <c r="N20" i="3" s="1"/>
  <c r="M20" i="3" s="1"/>
</calcChain>
</file>

<file path=xl/sharedStrings.xml><?xml version="1.0" encoding="utf-8"?>
<sst xmlns="http://schemas.openxmlformats.org/spreadsheetml/2006/main" count="451" uniqueCount="231">
  <si>
    <t>総数</t>
  </si>
  <si>
    <t>男</t>
  </si>
  <si>
    <t>女</t>
  </si>
  <si>
    <t>増減率</t>
    <rPh sb="0" eb="2">
      <t>ゾウゲン</t>
    </rPh>
    <rPh sb="2" eb="3">
      <t>リツ</t>
    </rPh>
    <phoneticPr fontId="2"/>
  </si>
  <si>
    <t>駒ヶ根市</t>
  </si>
  <si>
    <t>安曇野市</t>
  </si>
  <si>
    <t>南相木村</t>
  </si>
  <si>
    <t>北相木村</t>
  </si>
  <si>
    <t>佐久穂町</t>
  </si>
  <si>
    <t>軽井沢町</t>
  </si>
  <si>
    <t>御代田町</t>
  </si>
  <si>
    <t>下諏訪町</t>
  </si>
  <si>
    <t>富士見町</t>
  </si>
  <si>
    <t>南箕輪村</t>
  </si>
  <si>
    <t>南木曽町</t>
  </si>
  <si>
    <t>小布施町</t>
  </si>
  <si>
    <t>山ノ内町</t>
  </si>
  <si>
    <t>木島平村</t>
  </si>
  <si>
    <t>長野市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</si>
  <si>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</si>
  <si>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</si>
  <si>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</si>
  <si>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</si>
  <si>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</si>
  <si>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</si>
  <si>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</si>
  <si>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</si>
  <si>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</si>
  <si>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</si>
  <si>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</si>
  <si>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</si>
  <si>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</si>
  <si>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</si>
  <si>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小海町</t>
  </si>
  <si>
    <t>川上村</t>
  </si>
  <si>
    <t>南牧村</t>
  </si>
  <si>
    <t>立科町</t>
  </si>
  <si>
    <t>青木村</t>
  </si>
  <si>
    <t>長和町</t>
  </si>
  <si>
    <t>辰野町</t>
  </si>
  <si>
    <t>飯島町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</si>
  <si>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</si>
  <si>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</si>
  <si>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</si>
  <si>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</si>
  <si>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</si>
  <si>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</si>
  <si>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</si>
  <si>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</si>
  <si>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</si>
  <si>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</si>
  <si>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</si>
  <si>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</si>
  <si>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</si>
  <si>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</si>
  <si>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</si>
  <si>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</si>
  <si>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</si>
  <si>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</si>
  <si>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</si>
  <si>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</si>
  <si>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</si>
  <si>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</si>
  <si>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</si>
  <si>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</si>
  <si>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</si>
  <si>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</si>
  <si>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</si>
  <si>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</si>
  <si>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</si>
  <si>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</si>
  <si>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高山村</t>
  </si>
  <si>
    <t>信濃町</t>
  </si>
  <si>
    <t>小川村</t>
  </si>
  <si>
    <t>飯綱町</t>
  </si>
  <si>
    <t>松本市</t>
  </si>
  <si>
    <t>上田市</t>
  </si>
  <si>
    <t>箕輪町</t>
  </si>
  <si>
    <t>野沢温泉村</t>
    <rPh sb="4" eb="5">
      <t>ムラ</t>
    </rPh>
    <phoneticPr fontId="2"/>
  </si>
  <si>
    <t>栄村</t>
  </si>
  <si>
    <t>長野県</t>
    <rPh sb="0" eb="3">
      <t>ナガノケン</t>
    </rPh>
    <phoneticPr fontId="2"/>
  </si>
  <si>
    <t>世帯数</t>
    <rPh sb="0" eb="3">
      <t>セタイスウ</t>
    </rPh>
    <phoneticPr fontId="2"/>
  </si>
  <si>
    <t>原村</t>
  </si>
  <si>
    <t>増減数</t>
    <rPh sb="0" eb="2">
      <t>ゾウゲン</t>
    </rPh>
    <rPh sb="2" eb="3">
      <t>スウ</t>
    </rPh>
    <phoneticPr fontId="2"/>
  </si>
  <si>
    <t>表示するデータ</t>
    <rPh sb="0" eb="2">
      <t>ヒョウジ</t>
    </rPh>
    <phoneticPr fontId="2"/>
  </si>
  <si>
    <t>市町村名</t>
    <rPh sb="0" eb="3">
      <t>シチョウソン</t>
    </rPh>
    <rPh sb="3" eb="4">
      <t>メイ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</si>
  <si>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</si>
  <si>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</si>
  <si>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市町村</t>
    <rPh sb="0" eb="3">
      <t>シチョウソン</t>
    </rPh>
    <phoneticPr fontId="2"/>
  </si>
  <si>
    <t>市町村数</t>
    <rPh sb="0" eb="3">
      <t>シチョウソン</t>
    </rPh>
    <rPh sb="3" eb="4">
      <t>スウ</t>
    </rPh>
    <phoneticPr fontId="2"/>
  </si>
  <si>
    <t>合計</t>
    <rPh sb="0" eb="2">
      <t>ゴウケイ</t>
    </rPh>
    <phoneticPr fontId="2"/>
  </si>
  <si>
    <t>整数</t>
    <rPh sb="0" eb="2">
      <t>セイスウ</t>
    </rPh>
    <phoneticPr fontId="2"/>
  </si>
  <si>
    <t>小数点第2位</t>
    <rPh sb="0" eb="3">
      <t>ショウスウテン</t>
    </rPh>
    <rPh sb="3" eb="4">
      <t>ダイ</t>
    </rPh>
    <rPh sb="5" eb="6">
      <t>イ</t>
    </rPh>
    <phoneticPr fontId="2"/>
  </si>
  <si>
    <t>市</t>
    <rPh sb="0" eb="1">
      <t>シ</t>
    </rPh>
    <phoneticPr fontId="2"/>
  </si>
  <si>
    <t>町</t>
    <rPh sb="0" eb="1">
      <t>マチ</t>
    </rPh>
    <phoneticPr fontId="2"/>
  </si>
  <si>
    <t>村</t>
    <rPh sb="0" eb="1">
      <t>ムラ</t>
    </rPh>
    <phoneticPr fontId="2"/>
  </si>
  <si>
    <t>増加した数の多い順</t>
    <rPh sb="0" eb="2">
      <t>ゾウカ</t>
    </rPh>
    <rPh sb="4" eb="5">
      <t>カズ</t>
    </rPh>
    <rPh sb="6" eb="7">
      <t>オオ</t>
    </rPh>
    <rPh sb="8" eb="9">
      <t>ジュン</t>
    </rPh>
    <phoneticPr fontId="2"/>
  </si>
  <si>
    <t>減少した数の多い順</t>
    <rPh sb="0" eb="2">
      <t>ゲンショウ</t>
    </rPh>
    <rPh sb="4" eb="5">
      <t>カズ</t>
    </rPh>
    <rPh sb="6" eb="7">
      <t>オオ</t>
    </rPh>
    <rPh sb="8" eb="9">
      <t>ジュン</t>
    </rPh>
    <phoneticPr fontId="2"/>
  </si>
  <si>
    <t>順位</t>
    <rPh sb="0" eb="2">
      <t>ジュンイ</t>
    </rPh>
    <phoneticPr fontId="2"/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</si>
  <si>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</si>
  <si>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</si>
  <si>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</si>
  <si>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</si>
  <si>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</si>
  <si>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</si>
  <si>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</si>
  <si>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</si>
  <si>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</si>
  <si>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</si>
  <si>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</si>
  <si>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</si>
  <si>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</si>
  <si>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</si>
  <si>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</si>
  <si>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</si>
  <si>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</si>
  <si>
    <t>令和２年国勢調査速報結果　長野県市町村（ランキング表示ツール）</t>
    <rPh sb="0" eb="2">
      <t>レイワ</t>
    </rPh>
    <rPh sb="3" eb="4">
      <t>ネン</t>
    </rPh>
    <rPh sb="4" eb="6">
      <t>コクセイ</t>
    </rPh>
    <rPh sb="6" eb="8">
      <t>チョウサ</t>
    </rPh>
    <rPh sb="8" eb="10">
      <t>ソクホウ</t>
    </rPh>
    <rPh sb="10" eb="12">
      <t>ケッカ</t>
    </rPh>
    <rPh sb="13" eb="16">
      <t>ナガノケン</t>
    </rPh>
    <rPh sb="16" eb="19">
      <t>シチョウソン</t>
    </rPh>
    <rPh sb="25" eb="27">
      <t>ヒョウジ</t>
    </rPh>
    <phoneticPr fontId="2"/>
  </si>
  <si>
    <t>大門七区</t>
  </si>
  <si>
    <t>高出二区</t>
  </si>
  <si>
    <t>原新田</t>
  </si>
  <si>
    <t>高出三区</t>
  </si>
  <si>
    <t>吉田三区</t>
  </si>
  <si>
    <t>野村</t>
  </si>
  <si>
    <t>高出五区</t>
  </si>
  <si>
    <t>吉田四区</t>
  </si>
  <si>
    <t>平出</t>
  </si>
  <si>
    <t>堅石</t>
  </si>
  <si>
    <t>大門七番町</t>
  </si>
  <si>
    <t>堀ノ内</t>
  </si>
  <si>
    <t>桔梗ヶ原</t>
  </si>
  <si>
    <t>北熊井</t>
  </si>
  <si>
    <t>大門六番町</t>
  </si>
  <si>
    <t>大出</t>
  </si>
  <si>
    <t>大門一番町</t>
  </si>
  <si>
    <t>洗馬</t>
  </si>
  <si>
    <t>上組</t>
  </si>
  <si>
    <t>郷原</t>
  </si>
  <si>
    <t>中西条</t>
  </si>
  <si>
    <t>勝弦</t>
  </si>
  <si>
    <t>桟敷</t>
  </si>
  <si>
    <t>大門二番町</t>
  </si>
  <si>
    <t>大門八番町</t>
  </si>
  <si>
    <t>上西条</t>
  </si>
  <si>
    <t>中挟</t>
  </si>
  <si>
    <t>古町</t>
  </si>
  <si>
    <t>高出一区</t>
  </si>
  <si>
    <t>下小曽部</t>
  </si>
  <si>
    <t>元町</t>
  </si>
  <si>
    <t>太田</t>
  </si>
  <si>
    <t>みどり湖</t>
  </si>
  <si>
    <t>大門四番町</t>
  </si>
  <si>
    <t>下西条</t>
  </si>
  <si>
    <t>大門三番町</t>
  </si>
  <si>
    <t>小井戸</t>
  </si>
  <si>
    <t>日出塩</t>
  </si>
  <si>
    <t>上田</t>
  </si>
  <si>
    <t>君石</t>
  </si>
  <si>
    <t>長畝</t>
  </si>
  <si>
    <t>床尾</t>
  </si>
  <si>
    <t>金井</t>
  </si>
  <si>
    <t>大門五番町</t>
  </si>
  <si>
    <t>牧野</t>
  </si>
  <si>
    <t>本山</t>
  </si>
  <si>
    <t>南熊井</t>
  </si>
  <si>
    <t>松原</t>
  </si>
  <si>
    <t>吉田二区</t>
  </si>
  <si>
    <t>上小曽部</t>
  </si>
  <si>
    <t>宮前</t>
  </si>
  <si>
    <t>町区</t>
  </si>
  <si>
    <t>柿沢</t>
  </si>
  <si>
    <t>内田原</t>
  </si>
  <si>
    <t>岩垂</t>
  </si>
  <si>
    <t>南内田</t>
  </si>
  <si>
    <t>高出四区</t>
  </si>
  <si>
    <t>芦ノ田</t>
  </si>
  <si>
    <t>吉田五区</t>
  </si>
  <si>
    <t>贄川</t>
  </si>
  <si>
    <t>峰原</t>
  </si>
  <si>
    <t>吉田一区</t>
  </si>
  <si>
    <t>総数</t>
    <rPh sb="0" eb="2">
      <t>ソウスウ</t>
    </rPh>
    <phoneticPr fontId="2"/>
  </si>
  <si>
    <t>列18</t>
  </si>
  <si>
    <t>行政区</t>
    <rPh sb="0" eb="3">
      <t>ギョウセイク</t>
    </rPh>
    <phoneticPr fontId="2"/>
  </si>
  <si>
    <t>大門</t>
    <rPh sb="0" eb="2">
      <t>ダイモン</t>
    </rPh>
    <phoneticPr fontId="2"/>
  </si>
  <si>
    <t>大門田川町</t>
    <rPh sb="0" eb="2">
      <t>ダイモン</t>
    </rPh>
    <phoneticPr fontId="2"/>
  </si>
  <si>
    <t>塩尻東</t>
    <rPh sb="0" eb="2">
      <t>シオジリ</t>
    </rPh>
    <rPh sb="2" eb="3">
      <t>ヒガシ</t>
    </rPh>
    <phoneticPr fontId="2"/>
  </si>
  <si>
    <t>東山</t>
    <rPh sb="0" eb="2">
      <t>ヒガシヤマ</t>
    </rPh>
    <phoneticPr fontId="2"/>
  </si>
  <si>
    <t>高出</t>
    <rPh sb="0" eb="1">
      <t>タカ</t>
    </rPh>
    <rPh sb="1" eb="2">
      <t>デ</t>
    </rPh>
    <phoneticPr fontId="2"/>
  </si>
  <si>
    <t>片丘</t>
    <rPh sb="0" eb="2">
      <t>カタオカ</t>
    </rPh>
    <phoneticPr fontId="2"/>
  </si>
  <si>
    <t>広丘</t>
    <rPh sb="0" eb="2">
      <t>ヒロオカ</t>
    </rPh>
    <phoneticPr fontId="2"/>
  </si>
  <si>
    <t>吉田</t>
    <rPh sb="0" eb="2">
      <t>ヨシダ</t>
    </rPh>
    <phoneticPr fontId="2"/>
  </si>
  <si>
    <t>洗馬</t>
    <rPh sb="0" eb="2">
      <t>セバ</t>
    </rPh>
    <phoneticPr fontId="2"/>
  </si>
  <si>
    <t>宗賀</t>
    <rPh sb="0" eb="1">
      <t>ソウ</t>
    </rPh>
    <rPh sb="1" eb="2">
      <t>ガ</t>
    </rPh>
    <phoneticPr fontId="2"/>
  </si>
  <si>
    <t>北小野</t>
    <rPh sb="0" eb="1">
      <t>キタ</t>
    </rPh>
    <rPh sb="1" eb="3">
      <t>オノ</t>
    </rPh>
    <phoneticPr fontId="2"/>
  </si>
  <si>
    <t>楢川</t>
    <rPh sb="0" eb="2">
      <t>ナラカワ</t>
    </rPh>
    <phoneticPr fontId="2"/>
  </si>
  <si>
    <t>木曽平沢</t>
    <rPh sb="0" eb="2">
      <t>キソ</t>
    </rPh>
    <rPh sb="2" eb="4">
      <t>ヒラサワ</t>
    </rPh>
    <phoneticPr fontId="2"/>
  </si>
  <si>
    <t>奈良井</t>
    <rPh sb="0" eb="3">
      <t>ナライ</t>
    </rPh>
    <phoneticPr fontId="2"/>
  </si>
  <si>
    <t>地区</t>
    <rPh sb="0" eb="2">
      <t>チク</t>
    </rPh>
    <phoneticPr fontId="2"/>
  </si>
  <si>
    <t>変化なし</t>
    <rPh sb="0" eb="2">
      <t>ヘンカ</t>
    </rPh>
    <phoneticPr fontId="2"/>
  </si>
  <si>
    <t>行政区数</t>
    <rPh sb="0" eb="3">
      <t>ギョウセイク</t>
    </rPh>
    <rPh sb="3" eb="4">
      <t>スウ</t>
    </rPh>
    <phoneticPr fontId="2"/>
  </si>
  <si>
    <t>増減数</t>
  </si>
  <si>
    <t>増減率</t>
  </si>
  <si>
    <t>世帯数</t>
  </si>
  <si>
    <t>塩尻市</t>
    <rPh sb="0" eb="3">
      <t>シオジリシ</t>
    </rPh>
    <phoneticPr fontId="2"/>
  </si>
  <si>
    <t>←選択</t>
    <rPh sb="1" eb="3">
      <t>センタク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</si>
  <si>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</si>
  <si>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</si>
  <si>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％</t>
    <phoneticPr fontId="2"/>
  </si>
  <si>
    <t>1世帯あたり世帯員数</t>
  </si>
  <si>
    <t>1世帯あたり世帯員数</t>
    <rPh sb="1" eb="3">
      <t>セタイ</t>
    </rPh>
    <rPh sb="6" eb="9">
      <t>セタイイン</t>
    </rPh>
    <rPh sb="9" eb="10">
      <t>スウ</t>
    </rPh>
    <phoneticPr fontId="2"/>
  </si>
  <si>
    <t>小数点第2位</t>
  </si>
  <si>
    <t>-</t>
  </si>
  <si>
    <t>-</t>
    <phoneticPr fontId="2"/>
  </si>
  <si>
    <t>2020年　女人口</t>
    <rPh sb="4" eb="5">
      <t>ネン</t>
    </rPh>
    <rPh sb="7" eb="9">
      <t>ジンコウ</t>
    </rPh>
    <phoneticPr fontId="2"/>
  </si>
  <si>
    <t>2020年　男人口</t>
    <rPh sb="4" eb="5">
      <t>ネン</t>
    </rPh>
    <rPh sb="7" eb="9">
      <t>ジンコウ</t>
    </rPh>
    <phoneticPr fontId="2"/>
  </si>
  <si>
    <t>2020年　総人口</t>
    <rPh sb="4" eb="5">
      <t>ネン</t>
    </rPh>
    <rPh sb="7" eb="9">
      <t>ジンコウ</t>
    </rPh>
    <phoneticPr fontId="2"/>
  </si>
  <si>
    <t>2020年　世帯数</t>
    <rPh sb="4" eb="5">
      <t>ネン</t>
    </rPh>
    <phoneticPr fontId="2"/>
  </si>
  <si>
    <t>整数</t>
  </si>
  <si>
    <t>人</t>
  </si>
  <si>
    <t>世帯</t>
  </si>
  <si>
    <t>％</t>
  </si>
  <si>
    <t>世帯数（増減率）</t>
    <rPh sb="0" eb="3">
      <t>セタイスウ</t>
    </rPh>
    <rPh sb="4" eb="6">
      <t>ゾウゲン</t>
    </rPh>
    <rPh sb="6" eb="7">
      <t>リツ</t>
    </rPh>
    <phoneticPr fontId="2"/>
  </si>
  <si>
    <t>総人口（増減率）</t>
    <rPh sb="0" eb="3">
      <t>ソウジンコウ</t>
    </rPh>
    <rPh sb="4" eb="6">
      <t>ゾウゲン</t>
    </rPh>
    <rPh sb="6" eb="7">
      <t>リツ</t>
    </rPh>
    <phoneticPr fontId="2"/>
  </si>
  <si>
    <t>男人口（増減率）</t>
    <rPh sb="0" eb="1">
      <t>オトコ</t>
    </rPh>
    <rPh sb="1" eb="3">
      <t>ジンコウ</t>
    </rPh>
    <rPh sb="4" eb="6">
      <t>ゾウゲン</t>
    </rPh>
    <rPh sb="6" eb="7">
      <t>リツ</t>
    </rPh>
    <phoneticPr fontId="2"/>
  </si>
  <si>
    <t>女人口（増減率）</t>
    <rPh sb="0" eb="1">
      <t>オンナ</t>
    </rPh>
    <rPh sb="1" eb="3">
      <t>ジンコウ</t>
    </rPh>
    <rPh sb="4" eb="6">
      <t>ゾウゲン</t>
    </rPh>
    <rPh sb="6" eb="7">
      <t>リツ</t>
    </rPh>
    <phoneticPr fontId="2"/>
  </si>
  <si>
    <t>女人口（増減数）</t>
    <rPh sb="0" eb="1">
      <t>オンナ</t>
    </rPh>
    <rPh sb="1" eb="3">
      <t>ジンコウ</t>
    </rPh>
    <rPh sb="4" eb="6">
      <t>ゾウゲン</t>
    </rPh>
    <rPh sb="6" eb="7">
      <t>スウ</t>
    </rPh>
    <phoneticPr fontId="2"/>
  </si>
  <si>
    <t>男人口（増減数）</t>
    <rPh sb="0" eb="1">
      <t>オトコ</t>
    </rPh>
    <rPh sb="1" eb="3">
      <t>ジンコウ</t>
    </rPh>
    <rPh sb="4" eb="6">
      <t>ゾウゲン</t>
    </rPh>
    <rPh sb="6" eb="7">
      <t>スウ</t>
    </rPh>
    <phoneticPr fontId="2"/>
  </si>
  <si>
    <t>総人口（増減数）</t>
    <rPh sb="0" eb="3">
      <t>ソウジンコウ</t>
    </rPh>
    <rPh sb="4" eb="6">
      <t>ゾウゲン</t>
    </rPh>
    <rPh sb="6" eb="7">
      <t>スウ</t>
    </rPh>
    <phoneticPr fontId="2"/>
  </si>
  <si>
    <t>世帯数（増減数）</t>
    <rPh sb="0" eb="3">
      <t>セタイスウ</t>
    </rPh>
    <rPh sb="4" eb="6">
      <t>ゾウゲン</t>
    </rPh>
    <rPh sb="6" eb="7">
      <t>スウ</t>
    </rPh>
    <phoneticPr fontId="2"/>
  </si>
  <si>
    <t>【統計表】国勢調査　対前回比較（県内市町村）単位：世帯・人・％</t>
    <rPh sb="1" eb="4">
      <t>トウケイヒョウ</t>
    </rPh>
    <rPh sb="5" eb="7">
      <t>コクセイ</t>
    </rPh>
    <rPh sb="7" eb="9">
      <t>チョウサ</t>
    </rPh>
    <rPh sb="10" eb="11">
      <t>タイ</t>
    </rPh>
    <rPh sb="11" eb="13">
      <t>ゼンカイ</t>
    </rPh>
    <rPh sb="13" eb="15">
      <t>ヒカク</t>
    </rPh>
    <rPh sb="16" eb="18">
      <t>ケンナイ</t>
    </rPh>
    <rPh sb="18" eb="21">
      <t>シチョウソン</t>
    </rPh>
    <rPh sb="22" eb="24">
      <t>タンイ</t>
    </rPh>
    <rPh sb="25" eb="27">
      <t>セタイ</t>
    </rPh>
    <rPh sb="28" eb="29">
      <t>ニン</t>
    </rPh>
    <phoneticPr fontId="2"/>
  </si>
  <si>
    <t>【統計表】国勢調査　対前回比較（市内行政区）単位：世帯・人・％</t>
    <rPh sb="1" eb="4">
      <t>トウケイヒョウ</t>
    </rPh>
    <rPh sb="5" eb="7">
      <t>コクセイ</t>
    </rPh>
    <rPh sb="7" eb="9">
      <t>チョウサ</t>
    </rPh>
    <rPh sb="10" eb="11">
      <t>タイ</t>
    </rPh>
    <rPh sb="11" eb="13">
      <t>ゼンカイ</t>
    </rPh>
    <rPh sb="13" eb="15">
      <t>ヒカク</t>
    </rPh>
    <rPh sb="16" eb="18">
      <t>シナイ</t>
    </rPh>
    <rPh sb="18" eb="21">
      <t>ギョウセイク</t>
    </rPh>
    <phoneticPr fontId="2"/>
  </si>
  <si>
    <t>令和２年国勢調査確報結果　市内行政区（ランキング表示ツール）</t>
    <rPh sb="0" eb="2">
      <t>レイワ</t>
    </rPh>
    <rPh sb="3" eb="4">
      <t>ネン</t>
    </rPh>
    <rPh sb="4" eb="6">
      <t>コクセイ</t>
    </rPh>
    <rPh sb="6" eb="8">
      <t>チョウサ</t>
    </rPh>
    <rPh sb="8" eb="10">
      <t>カクホウ</t>
    </rPh>
    <rPh sb="10" eb="12">
      <t>ケッカ</t>
    </rPh>
    <rPh sb="13" eb="15">
      <t>シナイ</t>
    </rPh>
    <rPh sb="15" eb="18">
      <t>ギョウセイク</t>
    </rPh>
    <rPh sb="24" eb="26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</si>
</sst>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General&quot;年&quot;"/>
    <numFmt numFmtId="178" formatCode="0.00;&quot;△ &quot;0.00"/>
    <numFmt numFmtId="179" formatCode="#,##0.00;&quot;△ &quot;#,##0.00"/>
    <numFmt numFmtId="180" formatCode="#,##0.0;&quot;△ &quot;#,##0.0"/>
    <numFmt numFmtId="181" formatCode="0.0;&quot;△ &quot;0.0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theme="8" tint="0.79998168889431442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11"/>
      <color theme="4" tint="0.79998168889431442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1"/>
      <color theme="9" tint="0.79998168889431442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4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color rgb="FFFF000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149876400036622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/>
      <right/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auto="1"/>
      </left>
      <right/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2" borderId="2" xfId="0" applyFont="1" applyFill="1" applyBorder="1" applyAlignment="1">
      <alignment horizontal="center" vertical="center"/>
    </xf>
    <xf numFmtId="0" fontId="4" fillId="3" borderId="0" xfId="0" applyFont="1" applyFill="1"/>
    <xf numFmtId="0" fontId="5" fillId="3" borderId="0" xfId="0" applyFont="1" applyFill="1"/>
    <xf numFmtId="0" fontId="3" fillId="4" borderId="1" xfId="0" applyFont="1" applyFill="1" applyBorder="1" applyAlignment="1">
      <alignment horizontal="center"/>
    </xf>
    <xf numFmtId="0" fontId="6" fillId="3" borderId="0" xfId="0" applyFont="1" applyFill="1"/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/>
    </xf>
    <xf numFmtId="179" fontId="3" fillId="6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5" xfId="0" applyFont="1" applyBorder="1"/>
    <xf numFmtId="38" fontId="3" fillId="0" borderId="5" xfId="1" applyFont="1" applyBorder="1" applyAlignment="1"/>
    <xf numFmtId="38" fontId="7" fillId="0" borderId="5" xfId="1" applyFont="1" applyBorder="1" applyAlignment="1"/>
    <xf numFmtId="176" fontId="3" fillId="0" borderId="5" xfId="0" applyNumberFormat="1" applyFont="1" applyBorder="1"/>
    <xf numFmtId="178" fontId="3" fillId="0" borderId="5" xfId="0" applyNumberFormat="1" applyFont="1" applyBorder="1"/>
    <xf numFmtId="0" fontId="3" fillId="0" borderId="6" xfId="0" applyFont="1" applyBorder="1"/>
    <xf numFmtId="38" fontId="3" fillId="0" borderId="6" xfId="1" applyFont="1" applyBorder="1" applyAlignment="1"/>
    <xf numFmtId="0" fontId="8" fillId="0" borderId="0" xfId="0" applyFont="1"/>
    <xf numFmtId="38" fontId="5" fillId="0" borderId="5" xfId="1" applyFont="1" applyBorder="1" applyAlignment="1"/>
    <xf numFmtId="38" fontId="5" fillId="0" borderId="6" xfId="1" applyFont="1" applyBorder="1" applyAlignment="1"/>
    <xf numFmtId="0" fontId="9" fillId="3" borderId="0" xfId="0" applyFont="1" applyFill="1"/>
    <xf numFmtId="0" fontId="10" fillId="3" borderId="0" xfId="0" applyFont="1" applyFill="1"/>
    <xf numFmtId="0" fontId="10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7" fillId="3" borderId="0" xfId="0" applyFont="1" applyFill="1"/>
    <xf numFmtId="0" fontId="5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shrinkToFit="1"/>
    </xf>
    <xf numFmtId="0" fontId="3" fillId="5" borderId="2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shrinkToFit="1"/>
    </xf>
    <xf numFmtId="0" fontId="3" fillId="3" borderId="0" xfId="0" applyFont="1" applyFill="1" applyAlignment="1">
      <alignment shrinkToFit="1"/>
    </xf>
    <xf numFmtId="38" fontId="3" fillId="0" borderId="0" xfId="0" applyNumberFormat="1" applyFont="1"/>
    <xf numFmtId="38" fontId="8" fillId="0" borderId="0" xfId="0" applyNumberFormat="1" applyFont="1"/>
    <xf numFmtId="0" fontId="14" fillId="2" borderId="0" xfId="0" applyFont="1" applyFill="1"/>
    <xf numFmtId="176" fontId="3" fillId="6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179" fontId="12" fillId="6" borderId="9" xfId="0" applyNumberFormat="1" applyFont="1" applyFill="1" applyBorder="1" applyAlignment="1">
      <alignment horizontal="right" vertical="center"/>
    </xf>
    <xf numFmtId="179" fontId="13" fillId="6" borderId="9" xfId="0" applyNumberFormat="1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10" xfId="0" applyFont="1" applyBorder="1"/>
    <xf numFmtId="178" fontId="8" fillId="0" borderId="10" xfId="0" applyNumberFormat="1" applyFont="1" applyBorder="1"/>
    <xf numFmtId="176" fontId="8" fillId="0" borderId="0" xfId="0" applyNumberFormat="1" applyFont="1"/>
    <xf numFmtId="180" fontId="8" fillId="0" borderId="0" xfId="0" applyNumberFormat="1" applyFont="1"/>
    <xf numFmtId="0" fontId="15" fillId="2" borderId="0" xfId="0" applyFont="1" applyFill="1"/>
    <xf numFmtId="181" fontId="3" fillId="0" borderId="5" xfId="0" applyNumberFormat="1" applyFont="1" applyBorder="1"/>
    <xf numFmtId="0" fontId="12" fillId="6" borderId="11" xfId="0" applyFont="1" applyFill="1" applyBorder="1" applyAlignment="1">
      <alignment horizontal="center" shrinkToFit="1"/>
    </xf>
    <xf numFmtId="0" fontId="12" fillId="6" borderId="12" xfId="0" applyFont="1" applyFill="1" applyBorder="1" applyAlignment="1">
      <alignment horizontal="center" shrinkToFit="1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shrinkToFit="1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81" formatCode="0.0;&quot;△ &quot;0.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81" formatCode="0.0;&quot;△ &quot;0.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81" formatCode="0.0;&quot;△ &quot;0.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81" formatCode="0.0;&quot;△ &quot;0.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76" formatCode="#,##0;&quot;△ &quot;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76" formatCode="#,##0;&quot;△ &quot;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76" formatCode="#,##0;&quot;△ &quot;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76" formatCode="#,##0;&quot;△ &quot;#,##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78" formatCode="0.00;&quot;△ &quot;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rgb="FFFF0000"/>
      </font>
    </dxf>
    <dxf>
      <numFmt numFmtId="176" formatCode="#,##0;&quot;△ &quot;#,##0"/>
    </dxf>
    <dxf>
      <numFmt numFmtId="176" formatCode="#,##0;&quot;△ &quot;#,##0"/>
    </dxf>
    <dxf>
      <numFmt numFmtId="176" formatCode="#,##0;&quot;△ 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78" formatCode="0.00;&quot;△ &quot;0.0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78" formatCode="0.00;&quot;△ &quot;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78" formatCode="0.00;&quot;△ &quot;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78" formatCode="0.00;&quot;△ &quot;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76" formatCode="#,##0;&quot;△ &quot;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76" formatCode="#,##0;&quot;△ &quot;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76" formatCode="#,##0;&quot;△ &quot;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76" formatCode="#,##0;&quot;△ &quot;#,##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78" formatCode="0.00;&quot;△ &quot;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rgb="FFFF0000"/>
      </font>
    </dxf>
    <dxf>
      <numFmt numFmtId="176" formatCode="#,##0;&quot;△ &quot;#,##0"/>
    </dxf>
    <dxf>
      <numFmt numFmtId="176" formatCode="#,##0;&quot;△ &quot;#,##0"/>
    </dxf>
    <dxf>
      <numFmt numFmtId="176" formatCode="#,##0;&quot;△ 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テーブル13" displayName="テーブル13" ref="A5:R72" totalsRowShown="0" headerRowDxfId="42" dataDxfId="41">
  <autoFilter ref="A5:R72"/>
  <tableColumns count="18">
    <tableColumn id="1" name="列1" dataDxfId="40"/>
    <tableColumn id="18" name="列18" dataDxfId="39"/>
    <tableColumn id="2" name="列2" dataDxfId="38" dataCellStyle="桁区切り"/>
    <tableColumn id="3" name="列3" dataDxfId="37" dataCellStyle="桁区切り"/>
    <tableColumn id="4" name="列4" dataDxfId="36" dataCellStyle="桁区切り"/>
    <tableColumn id="5" name="列5" dataDxfId="35" dataCellStyle="桁区切り"/>
    <tableColumn id="6" name="列6" dataDxfId="34" dataCellStyle="桁区切り"/>
    <tableColumn id="7" name="列7" dataDxfId="33" dataCellStyle="桁区切り"/>
    <tableColumn id="8" name="列8" dataDxfId="32" dataCellStyle="桁区切り"/>
    <tableColumn id="9" name="列9" dataDxfId="31" dataCellStyle="桁区切り"/>
    <tableColumn id="10" name="列10" dataDxfId="30">
      <calculatedColumnFormula>テーブル13[[#This Row],[列6]]-テーブル13[[#This Row],[列2]]</calculatedColumnFormula>
    </tableColumn>
    <tableColumn id="11" name="列11" dataDxfId="29">
      <calculatedColumnFormula>テーブル13[[#This Row],[列7]]-テーブル13[[#This Row],[列3]]</calculatedColumnFormula>
    </tableColumn>
    <tableColumn id="12" name="列12" dataDxfId="28">
      <calculatedColumnFormula>テーブル13[[#This Row],[列8]]-テーブル13[[#This Row],[列4]]</calculatedColumnFormula>
    </tableColumn>
    <tableColumn id="13" name="列13" dataDxfId="27">
      <calculatedColumnFormula>テーブル13[[#This Row],[列9]]-テーブル13[[#This Row],[列5]]</calculatedColumnFormula>
    </tableColumn>
    <tableColumn id="14" name="列14" dataDxfId="26">
      <calculatedColumnFormula>テーブル13[[#This Row],[列10]]/テーブル13[[#This Row],[列6]]*100</calculatedColumnFormula>
    </tableColumn>
    <tableColumn id="15" name="列15" dataDxfId="25">
      <calculatedColumnFormula>テーブル13[[#This Row],[列11]]/テーブル13[[#This Row],[列7]]*100</calculatedColumnFormula>
    </tableColumn>
    <tableColumn id="16" name="列16" dataDxfId="24">
      <calculatedColumnFormula>テーブル13[[#This Row],[列12]]/テーブル13[[#This Row],[列8]]*100</calculatedColumnFormula>
    </tableColumn>
    <tableColumn id="17" name="列17" dataDxfId="23">
      <calculatedColumnFormula>テーブル13[[#This Row],[列13]]/テーブル13[[#This Row],[列9]]*100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テーブル1" displayName="テーブル1" ref="A5:Q83" totalsRowShown="0" headerRowDxfId="18" dataDxfId="17">
  <autoFilter ref="A5:Q83"/>
  <tableColumns count="17">
    <tableColumn id="1" name="列1" dataDxfId="16"/>
    <tableColumn id="2" name="列2" dataDxfId="15" dataCellStyle="桁区切り"/>
    <tableColumn id="3" name="列3" dataDxfId="14" dataCellStyle="桁区切り"/>
    <tableColumn id="4" name="列4" dataDxfId="13" dataCellStyle="桁区切り"/>
    <tableColumn id="5" name="列5" dataDxfId="12" dataCellStyle="桁区切り"/>
    <tableColumn id="6" name="列6" dataDxfId="11" dataCellStyle="桁区切り"/>
    <tableColumn id="7" name="列7" dataDxfId="10" dataCellStyle="桁区切り"/>
    <tableColumn id="8" name="列8" dataDxfId="9" dataCellStyle="桁区切り"/>
    <tableColumn id="9" name="列9" dataDxfId="8" dataCellStyle="桁区切り"/>
    <tableColumn id="10" name="列10" dataDxfId="7">
      <calculatedColumnFormula>テーブル1[[#This Row],[列6]]-テーブル1[[#This Row],[列2]]</calculatedColumnFormula>
    </tableColumn>
    <tableColumn id="11" name="列11" dataDxfId="6">
      <calculatedColumnFormula>テーブル1[[#This Row],[列7]]-テーブル1[[#This Row],[列3]]</calculatedColumnFormula>
    </tableColumn>
    <tableColumn id="12" name="列12" dataDxfId="5">
      <calculatedColumnFormula>テーブル1[[#This Row],[列8]]-テーブル1[[#This Row],[列4]]</calculatedColumnFormula>
    </tableColumn>
    <tableColumn id="13" name="列13" dataDxfId="4">
      <calculatedColumnFormula>テーブル1[[#This Row],[列9]]-テーブル1[[#This Row],[列5]]</calculatedColumnFormula>
    </tableColumn>
    <tableColumn id="14" name="列14" dataDxfId="3">
      <calculatedColumnFormula>テーブル1[[#This Row],[列10]]/テーブル1[[#This Row],[列6]]*100</calculatedColumnFormula>
    </tableColumn>
    <tableColumn id="15" name="列15" dataDxfId="2">
      <calculatedColumnFormula>テーブル1[[#This Row],[列11]]/テーブル1[[#This Row],[列7]]*100</calculatedColumnFormula>
    </tableColumn>
    <tableColumn id="16" name="列16" dataDxfId="1">
      <calculatedColumnFormula>テーブル1[[#This Row],[列12]]/テーブル1[[#This Row],[列8]]*100</calculatedColumnFormula>
    </tableColumn>
    <tableColumn id="17" name="列17" dataDxfId="0">
      <calculatedColumnFormula>テーブル1[[#This Row],[列13]]/テーブル1[[#This Row],[列9]]*100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W77"/>
  <sheetViews>
    <sheetView tabSelected="1" zoomScaleNormal="100" workbookViewId="0">
      <selection activeCell="B2" sqref="B2:C2"/>
    </sheetView>
  </sheetViews>
  <sheetFormatPr defaultRowHeight="18.75" x14ac:dyDescent="0.4"/>
  <cols>
    <col min="1" max="1" width="1.625" style="30" customWidth="1"/>
    <col min="2" max="2" width="5.625" style="30" customWidth="1"/>
    <col min="3" max="3" width="10.625" style="30" customWidth="1"/>
    <col min="4" max="4" width="16.125" style="30" customWidth="1"/>
    <col min="5" max="5" width="2.875" style="30" customWidth="1"/>
    <col min="6" max="6" width="2.875" style="33" customWidth="1"/>
    <col min="7" max="7" width="5.625" style="30" customWidth="1"/>
    <col min="8" max="8" width="12.5" style="30" customWidth="1"/>
    <col min="9" max="9" width="16" style="30" customWidth="1"/>
    <col min="10" max="10" width="3" style="30" customWidth="1"/>
    <col min="11" max="11" width="0.625" style="33" customWidth="1"/>
    <col min="12" max="12" width="11" style="30" customWidth="1"/>
    <col min="13" max="13" width="11.125" style="30" customWidth="1"/>
    <col min="14" max="14" width="1.25" style="30" customWidth="1"/>
    <col min="15" max="15" width="5.625" style="30" customWidth="1"/>
    <col min="16" max="16" width="5.25" style="30" customWidth="1"/>
    <col min="17" max="16384" width="9" style="30"/>
  </cols>
  <sheetData>
    <row r="1" spans="2:23" ht="25.5" x14ac:dyDescent="0.5">
      <c r="B1" s="29" t="s">
        <v>230</v>
      </c>
    </row>
    <row r="2" spans="2:23" ht="21" customHeight="1" x14ac:dyDescent="0.5">
      <c r="B2" s="57" t="s">
        <v>215</v>
      </c>
      <c r="C2" s="58"/>
      <c r="D2" s="55" t="s">
        <v>203</v>
      </c>
      <c r="E2" s="33" t="s">
        <v>215</v>
      </c>
      <c r="F2" s="33" t="s">
        <v>214</v>
      </c>
      <c r="G2" s="33" t="s">
        <v>213</v>
      </c>
      <c r="H2" s="33" t="s">
        <v>212</v>
      </c>
      <c r="I2" s="33" t="s">
        <v>227</v>
      </c>
      <c r="J2" s="33" t="s">
        <v>226</v>
      </c>
      <c r="K2" s="33" t="s">
        <v>225</v>
      </c>
      <c r="L2" s="33" t="s">
        <v>224</v>
      </c>
      <c r="M2" s="33" t="s">
        <v>220</v>
      </c>
      <c r="N2" s="33" t="s">
        <v>221</v>
      </c>
      <c r="O2" s="33" t="s">
        <v>222</v>
      </c>
      <c r="P2" s="33" t="s">
        <v>223</v>
      </c>
      <c r="Q2" s="33" t="s">
        <v>208</v>
      </c>
      <c r="R2" s="33"/>
      <c r="W2" s="32"/>
    </row>
    <row r="3" spans="2:23" x14ac:dyDescent="0.4">
      <c r="B3" s="33" t="str">
        <f>HLOOKUP($B$2,$D$2:$Q$3,2,FALSE)</f>
        <v>整数</v>
      </c>
      <c r="C3" s="33"/>
      <c r="D3" s="33"/>
      <c r="E3" s="33" t="s">
        <v>91</v>
      </c>
      <c r="F3" s="33" t="s">
        <v>91</v>
      </c>
      <c r="G3" s="33" t="s">
        <v>91</v>
      </c>
      <c r="H3" s="33" t="s">
        <v>91</v>
      </c>
      <c r="I3" s="33" t="s">
        <v>91</v>
      </c>
      <c r="J3" s="33" t="str">
        <f>I3</f>
        <v>整数</v>
      </c>
      <c r="K3" s="33" t="str">
        <f t="shared" ref="K3:L3" si="0">J3</f>
        <v>整数</v>
      </c>
      <c r="L3" s="33" t="str">
        <f t="shared" si="0"/>
        <v>整数</v>
      </c>
      <c r="M3" s="33" t="s">
        <v>92</v>
      </c>
      <c r="N3" s="33" t="str">
        <f>M3</f>
        <v>小数点第2位</v>
      </c>
      <c r="O3" s="33" t="str">
        <f t="shared" ref="O3:P3" si="1">N3</f>
        <v>小数点第2位</v>
      </c>
      <c r="P3" s="33" t="str">
        <f t="shared" si="1"/>
        <v>小数点第2位</v>
      </c>
      <c r="Q3" s="33" t="str">
        <f>P3</f>
        <v>小数点第2位</v>
      </c>
      <c r="R3" s="33"/>
    </row>
    <row r="4" spans="2:23" hidden="1" x14ac:dyDescent="0.4">
      <c r="B4" s="33" t="str">
        <f>HLOOKUP($B$2,$D$2:$Q$4,3,FALSE)</f>
        <v>人</v>
      </c>
      <c r="C4" s="33"/>
      <c r="D4" s="33"/>
      <c r="E4" s="33" t="s">
        <v>205</v>
      </c>
      <c r="F4" s="33" t="s">
        <v>205</v>
      </c>
      <c r="G4" s="33" t="s">
        <v>205</v>
      </c>
      <c r="H4" s="33" t="s">
        <v>205</v>
      </c>
      <c r="I4" s="33" t="s">
        <v>204</v>
      </c>
      <c r="J4" s="33" t="s">
        <v>205</v>
      </c>
      <c r="K4" s="33" t="s">
        <v>205</v>
      </c>
      <c r="L4" s="33" t="s">
        <v>205</v>
      </c>
      <c r="M4" s="33" t="s">
        <v>206</v>
      </c>
      <c r="N4" s="33" t="s">
        <v>206</v>
      </c>
      <c r="O4" s="33" t="s">
        <v>206</v>
      </c>
      <c r="P4" s="33" t="s">
        <v>206</v>
      </c>
      <c r="Q4" s="33" t="s">
        <v>205</v>
      </c>
      <c r="R4" s="33"/>
    </row>
    <row r="5" spans="2:23" hidden="1" x14ac:dyDescent="0.4">
      <c r="B5" s="33" t="str">
        <f>HLOOKUP($B$2,$D$2:$Q$7,4,FALSE)</f>
        <v>-</v>
      </c>
      <c r="C5" s="33"/>
      <c r="D5" s="33"/>
      <c r="E5" s="33" t="s">
        <v>211</v>
      </c>
      <c r="F5" s="33" t="str">
        <f>E5</f>
        <v>-</v>
      </c>
      <c r="G5" s="33" t="str">
        <f t="shared" ref="G5:H5" si="2">F5</f>
        <v>-</v>
      </c>
      <c r="H5" s="33" t="str">
        <f t="shared" si="2"/>
        <v>-</v>
      </c>
      <c r="I5" s="33">
        <f ca="1">COUNTIF($D$12:$D$77,"&gt;0")</f>
        <v>66</v>
      </c>
      <c r="J5" s="33">
        <f ca="1">I5</f>
        <v>66</v>
      </c>
      <c r="K5" s="33">
        <f t="shared" ref="K5:O5" ca="1" si="3">J5</f>
        <v>66</v>
      </c>
      <c r="L5" s="33">
        <f t="shared" ca="1" si="3"/>
        <v>66</v>
      </c>
      <c r="M5" s="33">
        <f t="shared" ca="1" si="3"/>
        <v>66</v>
      </c>
      <c r="N5" s="33">
        <f t="shared" ca="1" si="3"/>
        <v>66</v>
      </c>
      <c r="O5" s="33">
        <f t="shared" ca="1" si="3"/>
        <v>66</v>
      </c>
      <c r="P5" s="33">
        <f t="shared" ref="P5" ca="1" si="4">O5</f>
        <v>66</v>
      </c>
      <c r="Q5" s="33" t="s">
        <v>211</v>
      </c>
      <c r="R5" s="33"/>
    </row>
    <row r="6" spans="2:23" hidden="1" x14ac:dyDescent="0.4">
      <c r="B6" s="33" t="str">
        <f>HLOOKUP($B$2,$D$2:$Q$7,5,FALSE)</f>
        <v>-</v>
      </c>
      <c r="C6" s="33"/>
      <c r="D6" s="33"/>
      <c r="E6" s="33" t="s">
        <v>211</v>
      </c>
      <c r="F6" s="33" t="str">
        <f t="shared" ref="F6:H6" si="5">E6</f>
        <v>-</v>
      </c>
      <c r="G6" s="33" t="str">
        <f t="shared" si="5"/>
        <v>-</v>
      </c>
      <c r="H6" s="33" t="str">
        <f t="shared" si="5"/>
        <v>-</v>
      </c>
      <c r="I6" s="33">
        <f ca="1">COUNTIF($D$12:$D$77,"0")</f>
        <v>0</v>
      </c>
      <c r="J6" s="33">
        <f t="shared" ref="J6:P6" ca="1" si="6">COUNTIF($D$12:$D$77,"0")</f>
        <v>0</v>
      </c>
      <c r="K6" s="33">
        <f t="shared" ca="1" si="6"/>
        <v>0</v>
      </c>
      <c r="L6" s="33">
        <f t="shared" ca="1" si="6"/>
        <v>0</v>
      </c>
      <c r="M6" s="33">
        <f t="shared" ca="1" si="6"/>
        <v>0</v>
      </c>
      <c r="N6" s="33">
        <f t="shared" ca="1" si="6"/>
        <v>0</v>
      </c>
      <c r="O6" s="33">
        <f t="shared" ca="1" si="6"/>
        <v>0</v>
      </c>
      <c r="P6" s="33">
        <f t="shared" ca="1" si="6"/>
        <v>0</v>
      </c>
      <c r="Q6" s="33" t="s">
        <v>211</v>
      </c>
      <c r="R6" s="33"/>
    </row>
    <row r="7" spans="2:23" hidden="1" x14ac:dyDescent="0.4">
      <c r="B7" s="33" t="str">
        <f>HLOOKUP($B$2,$D$2:$Q$7,6,FALSE)</f>
        <v>-</v>
      </c>
      <c r="C7" s="33"/>
      <c r="D7" s="33"/>
      <c r="E7" s="33" t="s">
        <v>211</v>
      </c>
      <c r="F7" s="33" t="str">
        <f t="shared" ref="F7:H7" si="7">E7</f>
        <v>-</v>
      </c>
      <c r="G7" s="33" t="str">
        <f t="shared" si="7"/>
        <v>-</v>
      </c>
      <c r="H7" s="33" t="str">
        <f t="shared" si="7"/>
        <v>-</v>
      </c>
      <c r="I7" s="33">
        <f ca="1">COUNTIF($D$12:$D$77,"&lt;0")</f>
        <v>0</v>
      </c>
      <c r="J7" s="33">
        <f t="shared" ref="J7:P7" ca="1" si="8">COUNTIF($D$12:$D$77,"&lt;0")</f>
        <v>0</v>
      </c>
      <c r="K7" s="33">
        <f t="shared" ca="1" si="8"/>
        <v>0</v>
      </c>
      <c r="L7" s="33">
        <f t="shared" ca="1" si="8"/>
        <v>0</v>
      </c>
      <c r="M7" s="33">
        <f t="shared" ca="1" si="8"/>
        <v>0</v>
      </c>
      <c r="N7" s="33">
        <f t="shared" ca="1" si="8"/>
        <v>0</v>
      </c>
      <c r="O7" s="33">
        <f t="shared" ca="1" si="8"/>
        <v>0</v>
      </c>
      <c r="P7" s="33">
        <f t="shared" ca="1" si="8"/>
        <v>0</v>
      </c>
      <c r="Q7" s="33" t="s">
        <v>211</v>
      </c>
      <c r="R7" s="33"/>
    </row>
    <row r="8" spans="2:23" ht="24" x14ac:dyDescent="0.4">
      <c r="B8" s="59" t="s">
        <v>202</v>
      </c>
      <c r="C8" s="60"/>
      <c r="D8" s="47">
        <f ca="1">IF($B$3="整数",ROUND(F8,0),F8)</f>
        <v>27997</v>
      </c>
      <c r="E8" s="32"/>
      <c r="F8" s="33">
        <f ca="1">市内行政区統計表!U6</f>
        <v>27997.000008420859</v>
      </c>
      <c r="G8" s="33"/>
      <c r="H8" s="31"/>
      <c r="I8" s="50" t="str">
        <f>"単位："&amp;B4</f>
        <v>単位：人</v>
      </c>
      <c r="J8" s="31"/>
      <c r="L8" s="31"/>
    </row>
    <row r="9" spans="2:23" ht="15" customHeight="1" x14ac:dyDescent="0.4">
      <c r="B9" s="32"/>
      <c r="C9" s="32"/>
      <c r="D9" s="32"/>
      <c r="E9" s="32"/>
      <c r="G9" s="33"/>
      <c r="H9" s="31"/>
      <c r="I9" s="35"/>
      <c r="J9" s="31"/>
      <c r="L9" s="31"/>
    </row>
    <row r="10" spans="2:23" ht="19.5" x14ac:dyDescent="0.4">
      <c r="B10" s="44" t="str">
        <f>$B$2&amp;"の多い順"</f>
        <v>2020年　世帯数の多い順</v>
      </c>
      <c r="C10" s="32"/>
      <c r="D10" s="32"/>
      <c r="E10" s="32"/>
      <c r="G10" s="44" t="str">
        <f>$B$2&amp;"の少ない順"</f>
        <v>2020年　世帯数の少ない順</v>
      </c>
      <c r="H10" s="31"/>
      <c r="I10" s="31"/>
      <c r="J10" s="31"/>
    </row>
    <row r="11" spans="2:23" x14ac:dyDescent="0.4">
      <c r="B11" s="36" t="s">
        <v>98</v>
      </c>
      <c r="C11" s="36" t="s">
        <v>85</v>
      </c>
      <c r="D11" s="36" t="str">
        <f>B2</f>
        <v>2020年　世帯数</v>
      </c>
      <c r="E11" s="32"/>
      <c r="F11" s="38"/>
      <c r="G11" s="39" t="s">
        <v>98</v>
      </c>
      <c r="H11" s="39" t="s">
        <v>85</v>
      </c>
      <c r="I11" s="39" t="str">
        <f>B2</f>
        <v>2020年　世帯数</v>
      </c>
      <c r="J11" s="31"/>
      <c r="L11" s="6"/>
      <c r="M11" s="6" t="s">
        <v>198</v>
      </c>
    </row>
    <row r="12" spans="2:23" x14ac:dyDescent="0.4">
      <c r="B12" s="9">
        <v>1</v>
      </c>
      <c r="C12" s="10" t="str">
        <f ca="1">INDEX(市内行政区統計表!$A$7:$U$72,MATCH('ランキングツール（市内行政区）'!F12,市内行政区統計表!$U$7:$U$72,0),2)</f>
        <v>野村</v>
      </c>
      <c r="D12" s="11">
        <f ca="1">IF($B$3="整数",ROUND(F12,0),F12)</f>
        <v>2711</v>
      </c>
      <c r="E12" s="32"/>
      <c r="F12" s="33">
        <f ca="1">LARGE(市内行政区統計表!$U$7:$U$72,'ランキングツール（市内行政区）'!B12)</f>
        <v>2711.0245935322623</v>
      </c>
      <c r="G12" s="9">
        <v>1</v>
      </c>
      <c r="H12" s="10" t="str">
        <f ca="1">INDEX(市内行政区統計表!$A$7:$U$72,MATCH('ランキングツール（市内行政区）'!K12,市内行政区統計表!$U$7:$U$72,0),2)</f>
        <v>中挟</v>
      </c>
      <c r="I12" s="11">
        <f ca="1">IF($B$3="整数",ROUND(K12,0),K12)</f>
        <v>34</v>
      </c>
      <c r="J12" s="31"/>
      <c r="K12" s="33">
        <f ca="1">SMALL(市内行政区統計表!$U$7:$U$72,'ランキングツール（市内行政区）'!G12)</f>
        <v>34.000199874424496</v>
      </c>
      <c r="L12" s="8" t="s">
        <v>86</v>
      </c>
      <c r="M12" s="45" t="str">
        <f>B5</f>
        <v>-</v>
      </c>
    </row>
    <row r="13" spans="2:23" x14ac:dyDescent="0.4">
      <c r="B13" s="9">
        <v>2</v>
      </c>
      <c r="C13" s="10" t="str">
        <f ca="1">INDEX(市内行政区統計表!$A$7:$U$72,MATCH('ランキングツール（市内行政区）'!F13,市内行政区統計表!$U$7:$U$72,0),2)</f>
        <v>原新田</v>
      </c>
      <c r="D13" s="11">
        <f t="shared" ref="D13:D76" ca="1" si="9">IF($B$3="整数",ROUND(F13,0),F13)</f>
        <v>1958</v>
      </c>
      <c r="E13" s="32"/>
      <c r="F13" s="33">
        <f ca="1">LARGE(市内行政区統計表!$U$7:$U$72,'ランキングツール（市内行政区）'!B13)</f>
        <v>1958.0100182965989</v>
      </c>
      <c r="G13" s="9">
        <v>2</v>
      </c>
      <c r="H13" s="10" t="str">
        <f ca="1">INDEX(市内行政区統計表!$A$7:$U$72,MATCH('ランキングツール（市内行政区）'!K13,市内行政区統計表!$U$7:$U$72,0),2)</f>
        <v>日出塩</v>
      </c>
      <c r="I13" s="11">
        <f t="shared" ref="I13:I76" ca="1" si="10">IF($B$3="整数",ROUND(K13,0),K13)</f>
        <v>46</v>
      </c>
      <c r="J13" s="31"/>
      <c r="K13" s="33">
        <f ca="1">SMALL(市内行政区統計表!$U$7:$U$72,'ランキングツール（市内行政区）'!G13)</f>
        <v>46.000374696479483</v>
      </c>
      <c r="L13" s="8" t="s">
        <v>197</v>
      </c>
      <c r="M13" s="45" t="str">
        <f t="shared" ref="M13:M14" si="11">B6</f>
        <v>-</v>
      </c>
    </row>
    <row r="14" spans="2:23" x14ac:dyDescent="0.4">
      <c r="B14" s="9">
        <v>3</v>
      </c>
      <c r="C14" s="10" t="str">
        <f ca="1">INDEX(市内行政区統計表!$A$7:$U$72,MATCH('ランキングツール（市内行政区）'!F14,市内行政区統計表!$U$7:$U$72,0),2)</f>
        <v>大門七区</v>
      </c>
      <c r="D14" s="11">
        <f t="shared" ca="1" si="9"/>
        <v>1866</v>
      </c>
      <c r="E14" s="32"/>
      <c r="F14" s="33">
        <f ca="1">LARGE(市内行政区統計表!$U$7:$U$72,'ランキングツール（市内行政区）'!B14)</f>
        <v>1866.0141145824773</v>
      </c>
      <c r="G14" s="9">
        <v>3</v>
      </c>
      <c r="H14" s="10" t="str">
        <f ca="1">INDEX(市内行政区統計表!$A$7:$U$72,MATCH('ランキングツール（市内行政区）'!K14,市内行政区統計表!$U$7:$U$72,0),2)</f>
        <v>小井戸</v>
      </c>
      <c r="I14" s="11">
        <f t="shared" ca="1" si="10"/>
        <v>59</v>
      </c>
      <c r="J14" s="31"/>
      <c r="K14" s="33">
        <f ca="1">SMALL(市内行政区統計表!$U$7:$U$72,'ランキングツール（市内行政区）'!G14)</f>
        <v>59.000353843173109</v>
      </c>
      <c r="L14" s="8" t="s">
        <v>87</v>
      </c>
      <c r="M14" s="45" t="str">
        <f t="shared" si="11"/>
        <v>-</v>
      </c>
    </row>
    <row r="15" spans="2:23" x14ac:dyDescent="0.4">
      <c r="B15" s="9">
        <v>4</v>
      </c>
      <c r="C15" s="10" t="str">
        <f ca="1">INDEX(市内行政区統計表!$A$7:$U$72,MATCH('ランキングツール（市内行政区）'!F15,市内行政区統計表!$U$7:$U$72,0),2)</f>
        <v>吉田五区</v>
      </c>
      <c r="D15" s="11">
        <f t="shared" ca="1" si="9"/>
        <v>1147</v>
      </c>
      <c r="E15" s="32"/>
      <c r="F15" s="33">
        <f ca="1">LARGE(市内行政区統計表!$U$7:$U$72,'ランキングツール（市内行政区）'!B15)</f>
        <v>1147.0040625219867</v>
      </c>
      <c r="G15" s="9">
        <v>4</v>
      </c>
      <c r="H15" s="10" t="str">
        <f ca="1">INDEX(市内行政区統計表!$A$7:$U$72,MATCH('ランキングツール（市内行政区）'!K15,市内行政区統計表!$U$7:$U$72,0),2)</f>
        <v>金井</v>
      </c>
      <c r="I15" s="11">
        <f t="shared" ca="1" si="10"/>
        <v>65</v>
      </c>
      <c r="J15" s="31"/>
      <c r="K15" s="33">
        <f ca="1">SMALL(市内行政区統計表!$U$7:$U$72,'ランキングツール（市内行政区）'!G15)</f>
        <v>65.000119457218304</v>
      </c>
      <c r="L15" s="8" t="s">
        <v>90</v>
      </c>
      <c r="M15" s="46" t="str">
        <f>IFERROR(M12+M14+M13,"-")</f>
        <v>-</v>
      </c>
    </row>
    <row r="16" spans="2:23" x14ac:dyDescent="0.4">
      <c r="B16" s="9">
        <v>5</v>
      </c>
      <c r="C16" s="10" t="str">
        <f ca="1">INDEX(市内行政区統計表!$A$7:$U$72,MATCH('ランキングツール（市内行政区）'!F16,市内行政区統計表!$U$7:$U$72,0),2)</f>
        <v>堅石</v>
      </c>
      <c r="D16" s="11">
        <f t="shared" ca="1" si="9"/>
        <v>997</v>
      </c>
      <c r="E16" s="32"/>
      <c r="F16" s="33">
        <f ca="1">LARGE(市内行政区統計表!$U$7:$U$72,'ランキングツール（市内行政区）'!B16)</f>
        <v>997.00825970693461</v>
      </c>
      <c r="G16" s="9">
        <v>5</v>
      </c>
      <c r="H16" s="10" t="str">
        <f ca="1">INDEX(市内行政区統計表!$A$7:$U$72,MATCH('ランキングツール（市内行政区）'!K16,市内行政区統計表!$U$7:$U$72,0),2)</f>
        <v>宮前</v>
      </c>
      <c r="I16" s="11">
        <f t="shared" ca="1" si="10"/>
        <v>76</v>
      </c>
      <c r="J16" s="31"/>
      <c r="K16" s="33">
        <f ca="1">SMALL(市内行政区統計表!$U$7:$U$72,'ランキングツール（市内行政区）'!G16)</f>
        <v>76.000028273792779</v>
      </c>
    </row>
    <row r="17" spans="2:11" x14ac:dyDescent="0.4">
      <c r="B17" s="9">
        <v>6</v>
      </c>
      <c r="C17" s="10" t="str">
        <f ca="1">INDEX(市内行政区統計表!$A$7:$U$72,MATCH('ランキングツール（市内行政区）'!F17,市内行政区統計表!$U$7:$U$72,0),2)</f>
        <v>吉田四区</v>
      </c>
      <c r="D17" s="11">
        <f t="shared" ca="1" si="9"/>
        <v>973</v>
      </c>
      <c r="E17" s="32"/>
      <c r="F17" s="33">
        <f ca="1">LARGE(市内行政区統計表!$U$7:$U$72,'ランキングツール（市内行政区）'!B17)</f>
        <v>973.00395119370341</v>
      </c>
      <c r="G17" s="9">
        <v>6</v>
      </c>
      <c r="H17" s="10" t="str">
        <f ca="1">INDEX(市内行政区統計表!$A$7:$U$72,MATCH('ランキングツール（市内行政区）'!K17,市内行政区統計表!$U$7:$U$72,0),2)</f>
        <v>松原</v>
      </c>
      <c r="I17" s="11">
        <f t="shared" ca="1" si="10"/>
        <v>76</v>
      </c>
      <c r="J17" s="31"/>
      <c r="K17" s="33">
        <f ca="1">SMALL(市内行政区統計表!$U$7:$U$72,'ランキングツール（市内行政区）'!G17)</f>
        <v>76.000632355415931</v>
      </c>
    </row>
    <row r="18" spans="2:11" x14ac:dyDescent="0.4">
      <c r="B18" s="9">
        <v>7</v>
      </c>
      <c r="C18" s="10" t="str">
        <f ca="1">INDEX(市内行政区統計表!$A$7:$U$72,MATCH('ランキングツール（市内行政区）'!F18,市内行政区統計表!$U$7:$U$72,0),2)</f>
        <v>吉田三区</v>
      </c>
      <c r="D18" s="11">
        <f t="shared" ca="1" si="9"/>
        <v>951</v>
      </c>
      <c r="E18" s="32"/>
      <c r="F18" s="33">
        <f ca="1">LARGE(市内行政区統計表!$U$7:$U$72,'ランキングツール（市内行政区）'!B18)</f>
        <v>951.00142189248004</v>
      </c>
      <c r="G18" s="9">
        <v>7</v>
      </c>
      <c r="H18" s="10" t="str">
        <f ca="1">INDEX(市内行政区統計表!$A$7:$U$72,MATCH('ランキングツール（市内行政区）'!K18,市内行政区統計表!$U$7:$U$72,0),2)</f>
        <v>中西条</v>
      </c>
      <c r="I18" s="11">
        <f t="shared" ca="1" si="10"/>
        <v>84</v>
      </c>
      <c r="J18" s="31"/>
      <c r="K18" s="33">
        <f ca="1">SMALL(市内行政区統計表!$U$7:$U$72,'ランキングツール（市内行政区）'!G18)</f>
        <v>84.000500403571962</v>
      </c>
    </row>
    <row r="19" spans="2:11" x14ac:dyDescent="0.4">
      <c r="B19" s="9">
        <v>8</v>
      </c>
      <c r="C19" s="10" t="str">
        <f ca="1">INDEX(市内行政区統計表!$A$7:$U$72,MATCH('ランキングツール（市内行政区）'!F19,市内行政区統計表!$U$7:$U$72,0),2)</f>
        <v>高出三区</v>
      </c>
      <c r="D19" s="11">
        <f t="shared" ca="1" si="9"/>
        <v>929</v>
      </c>
      <c r="E19" s="32"/>
      <c r="F19" s="33">
        <f ca="1">LARGE(市内行政区統計表!$U$7:$U$72,'ランキングツール（市内行政区）'!B19)</f>
        <v>929.00577587701991</v>
      </c>
      <c r="G19" s="9">
        <v>8</v>
      </c>
      <c r="H19" s="10" t="str">
        <f ca="1">INDEX(市内行政区統計表!$A$7:$U$72,MATCH('ランキングツール（市内行政区）'!K19,市内行政区統計表!$U$7:$U$72,0),2)</f>
        <v>東山</v>
      </c>
      <c r="I19" s="11">
        <f t="shared" ca="1" si="10"/>
        <v>90</v>
      </c>
      <c r="J19" s="31"/>
      <c r="K19" s="33">
        <f ca="1">SMALL(市内行政区統計表!$U$7:$U$72,'ランキングツール（市内行政区）'!G19)</f>
        <v>90.00058476463451</v>
      </c>
    </row>
    <row r="20" spans="2:11" x14ac:dyDescent="0.4">
      <c r="B20" s="9">
        <v>9</v>
      </c>
      <c r="C20" s="10" t="str">
        <f ca="1">INDEX(市内行政区統計表!$A$7:$U$72,MATCH('ランキングツール（市内行政区）'!F20,市内行政区統計表!$U$7:$U$72,0),2)</f>
        <v>町区</v>
      </c>
      <c r="D20" s="11">
        <f t="shared" ca="1" si="9"/>
        <v>820</v>
      </c>
      <c r="E20" s="32"/>
      <c r="F20" s="33">
        <f ca="1">LARGE(市内行政区統計表!$U$7:$U$72,'ランキングツール（市内行政区）'!B20)</f>
        <v>820.00431876844902</v>
      </c>
      <c r="G20" s="9">
        <v>9</v>
      </c>
      <c r="H20" s="10" t="str">
        <f ca="1">INDEX(市内行政区統計表!$A$7:$U$72,MATCH('ランキングツール（市内行政区）'!K20,市内行政区統計表!$U$7:$U$72,0),2)</f>
        <v>上田</v>
      </c>
      <c r="I20" s="11">
        <f t="shared" ca="1" si="10"/>
        <v>106</v>
      </c>
      <c r="J20" s="31"/>
      <c r="K20" s="33">
        <f ca="1">SMALL(市内行政区統計表!$U$7:$U$72,'ランキングツール（市内行政区）'!G20)</f>
        <v>106.00029822190633</v>
      </c>
    </row>
    <row r="21" spans="2:11" x14ac:dyDescent="0.4">
      <c r="B21" s="9">
        <v>10</v>
      </c>
      <c r="C21" s="10" t="str">
        <f ca="1">INDEX(市内行政区統計表!$A$7:$U$72,MATCH('ランキングツール（市内行政区）'!F21,市内行政区統計表!$U$7:$U$72,0),2)</f>
        <v>郷原</v>
      </c>
      <c r="D21" s="11">
        <f t="shared" ca="1" si="9"/>
        <v>801</v>
      </c>
      <c r="E21" s="32"/>
      <c r="F21" s="33">
        <f ca="1">LARGE(市内行政区統計表!$U$7:$U$72,'ランキングツール（市内行政区）'!B21)</f>
        <v>801.00459039325892</v>
      </c>
      <c r="G21" s="9">
        <v>10</v>
      </c>
      <c r="H21" s="10" t="str">
        <f ca="1">INDEX(市内行政区統計表!$A$7:$U$72,MATCH('ランキングツール（市内行政区）'!K21,市内行政区統計表!$U$7:$U$72,0),2)</f>
        <v>上小曽部</v>
      </c>
      <c r="I21" s="11">
        <f t="shared" ca="1" si="10"/>
        <v>119</v>
      </c>
      <c r="J21" s="31"/>
      <c r="K21" s="33">
        <f ca="1">SMALL(市内行政区統計表!$U$7:$U$72,'ランキングツール（市内行政区）'!G21)</f>
        <v>119.00009642212702</v>
      </c>
    </row>
    <row r="22" spans="2:11" x14ac:dyDescent="0.4">
      <c r="B22" s="9">
        <v>11</v>
      </c>
      <c r="C22" s="10" t="str">
        <f ca="1">INDEX(市内行政区統計表!$A$7:$U$72,MATCH('ランキングツール（市内行政区）'!F22,市内行政区統計表!$U$7:$U$72,0),2)</f>
        <v>高出四区</v>
      </c>
      <c r="D22" s="11">
        <f t="shared" ca="1" si="9"/>
        <v>771</v>
      </c>
      <c r="E22" s="32"/>
      <c r="F22" s="33">
        <f ca="1">LARGE(市内行政区統計表!$U$7:$U$72,'ランキングツール（市内行政区）'!B22)</f>
        <v>771.00076658813646</v>
      </c>
      <c r="G22" s="9">
        <v>11</v>
      </c>
      <c r="H22" s="10" t="str">
        <f ca="1">INDEX(市内行政区統計表!$A$7:$U$72,MATCH('ランキングツール（市内行政区）'!K22,市内行政区統計表!$U$7:$U$72,0),2)</f>
        <v>大門一番町</v>
      </c>
      <c r="I22" s="11">
        <f t="shared" ca="1" si="10"/>
        <v>134</v>
      </c>
      <c r="J22" s="31"/>
      <c r="K22" s="33">
        <f ca="1">SMALL(市内行政区統計表!$U$7:$U$72,'ランキングツール（市内行政区）'!G22)</f>
        <v>134.00117905177083</v>
      </c>
    </row>
    <row r="23" spans="2:11" x14ac:dyDescent="0.4">
      <c r="B23" s="9">
        <v>12</v>
      </c>
      <c r="C23" s="10" t="str">
        <f ca="1">INDEX(市内行政区統計表!$A$7:$U$72,MATCH('ランキングツール（市内行政区）'!F23,市内行政区統計表!$U$7:$U$72,0),2)</f>
        <v>高出二区</v>
      </c>
      <c r="D23" s="11">
        <f t="shared" ca="1" si="9"/>
        <v>765</v>
      </c>
      <c r="E23" s="32"/>
      <c r="F23" s="33">
        <f ca="1">LARGE(市内行政区統計表!$U$7:$U$72,'ランキングツール（市内行政区）'!B23)</f>
        <v>765.00390197706247</v>
      </c>
      <c r="G23" s="9">
        <v>12</v>
      </c>
      <c r="H23" s="10" t="str">
        <f ca="1">INDEX(市内行政区統計表!$A$7:$U$72,MATCH('ランキングツール（市内行政区）'!K23,市内行政区統計表!$U$7:$U$72,0),2)</f>
        <v>みどり湖</v>
      </c>
      <c r="I23" s="11">
        <f t="shared" ca="1" si="10"/>
        <v>136</v>
      </c>
      <c r="J23" s="31"/>
      <c r="K23" s="33">
        <f ca="1">SMALL(市内行政区統計表!$U$7:$U$72,'ランキングツール（市内行政区）'!G23)</f>
        <v>136.00072590669183</v>
      </c>
    </row>
    <row r="24" spans="2:11" x14ac:dyDescent="0.4">
      <c r="B24" s="9">
        <v>13</v>
      </c>
      <c r="C24" s="10" t="str">
        <f ca="1">INDEX(市内行政区統計表!$A$7:$U$72,MATCH('ランキングツール（市内行政区）'!F24,市内行政区統計表!$U$7:$U$72,0),2)</f>
        <v>桔梗ヶ原</v>
      </c>
      <c r="D24" s="11">
        <f t="shared" ca="1" si="9"/>
        <v>761</v>
      </c>
      <c r="E24" s="32"/>
      <c r="F24" s="33">
        <f ca="1">LARGE(市内行政区統計表!$U$7:$U$72,'ランキングツール（市内行政区）'!B24)</f>
        <v>761.00544446985236</v>
      </c>
      <c r="G24" s="9">
        <v>13</v>
      </c>
      <c r="H24" s="10" t="str">
        <f ca="1">INDEX(市内行政区統計表!$A$7:$U$72,MATCH('ランキングツール（市内行政区）'!K24,市内行政区統計表!$U$7:$U$72,0),2)</f>
        <v>長畝</v>
      </c>
      <c r="I24" s="11">
        <f t="shared" ca="1" si="10"/>
        <v>137</v>
      </c>
      <c r="J24" s="31"/>
      <c r="K24" s="33">
        <f ca="1">SMALL(市内行政区統計表!$U$7:$U$72,'ランキングツール（市内行政区）'!G24)</f>
        <v>137.00048421374984</v>
      </c>
    </row>
    <row r="25" spans="2:11" x14ac:dyDescent="0.4">
      <c r="B25" s="9">
        <v>14</v>
      </c>
      <c r="C25" s="10" t="str">
        <f ca="1">INDEX(市内行政区統計表!$A$7:$U$72,MATCH('ランキングツール（市内行政区）'!F25,市内行政区統計表!$U$7:$U$72,0),2)</f>
        <v>高出五区</v>
      </c>
      <c r="D25" s="11">
        <f t="shared" ca="1" si="9"/>
        <v>702</v>
      </c>
      <c r="E25" s="32"/>
      <c r="F25" s="33">
        <f ca="1">LARGE(市内行政区統計表!$U$7:$U$72,'ランキングツール（市内行政区）'!B25)</f>
        <v>702.00623466716809</v>
      </c>
      <c r="G25" s="9">
        <v>14</v>
      </c>
      <c r="H25" s="10" t="str">
        <f ca="1">INDEX(市内行政区統計表!$A$7:$U$72,MATCH('ランキングツール（市内行政区）'!K25,市内行政区統計表!$U$7:$U$72,0),2)</f>
        <v>本山</v>
      </c>
      <c r="I25" s="11">
        <f t="shared" ca="1" si="10"/>
        <v>137</v>
      </c>
      <c r="J25" s="31"/>
      <c r="K25" s="33">
        <f ca="1">SMALL(市内行政区統計表!$U$7:$U$72,'ランキングツール（市内行政区）'!G25)</f>
        <v>137.00075239397748</v>
      </c>
    </row>
    <row r="26" spans="2:11" x14ac:dyDescent="0.4">
      <c r="B26" s="9">
        <v>15</v>
      </c>
      <c r="C26" s="10" t="str">
        <f ca="1">INDEX(市内行政区統計表!$A$7:$U$72,MATCH('ランキングツール（市内行政区）'!F26,市内行政区統計表!$U$7:$U$72,0),2)</f>
        <v>大門五番町</v>
      </c>
      <c r="D26" s="11">
        <f t="shared" ca="1" si="9"/>
        <v>570</v>
      </c>
      <c r="E26" s="32"/>
      <c r="F26" s="33">
        <f ca="1">LARGE(市内行政区統計表!$U$7:$U$72,'ランキングツール（市内行政区）'!B26)</f>
        <v>570.00139479200971</v>
      </c>
      <c r="G26" s="9">
        <v>15</v>
      </c>
      <c r="H26" s="10" t="str">
        <f ca="1">INDEX(市内行政区統計表!$A$7:$U$72,MATCH('ランキングツール（市内行政区）'!K26,市内行政区統計表!$U$7:$U$72,0),2)</f>
        <v>内田原</v>
      </c>
      <c r="I26" s="11">
        <f t="shared" ca="1" si="10"/>
        <v>143</v>
      </c>
      <c r="J26" s="31"/>
      <c r="K26" s="33">
        <f ca="1">SMALL(市内行政区統計表!$U$7:$U$72,'ランキングツール（市内行政区）'!G26)</f>
        <v>143.00052757650317</v>
      </c>
    </row>
    <row r="27" spans="2:11" x14ac:dyDescent="0.4">
      <c r="B27" s="9">
        <v>16</v>
      </c>
      <c r="C27" s="10" t="str">
        <f ca="1">INDEX(市内行政区統計表!$A$7:$U$72,MATCH('ランキングツール（市内行政区）'!F27,市内行政区統計表!$U$7:$U$72,0),2)</f>
        <v>吉田一区</v>
      </c>
      <c r="D27" s="11">
        <f t="shared" ca="1" si="9"/>
        <v>548</v>
      </c>
      <c r="E27" s="32"/>
      <c r="F27" s="33">
        <f ca="1">LARGE(市内行政区統計表!$U$7:$U$72,'ランキングツール（市内行政区）'!B27)</f>
        <v>548.00455492956837</v>
      </c>
      <c r="G27" s="9">
        <v>16</v>
      </c>
      <c r="H27" s="10" t="str">
        <f ca="1">INDEX(市内行政区統計表!$A$7:$U$72,MATCH('ランキングツール（市内行政区）'!K27,市内行政区統計表!$U$7:$U$72,0),2)</f>
        <v>君石</v>
      </c>
      <c r="I27" s="11">
        <f t="shared" ca="1" si="10"/>
        <v>144</v>
      </c>
      <c r="J27" s="31"/>
      <c r="K27" s="33">
        <f ca="1">SMALL(市内行政区統計表!$U$7:$U$72,'ランキングツール（市内行政区）'!G27)</f>
        <v>144.00057530278644</v>
      </c>
    </row>
    <row r="28" spans="2:11" x14ac:dyDescent="0.4">
      <c r="B28" s="9">
        <v>17</v>
      </c>
      <c r="C28" s="10" t="str">
        <f ca="1">INDEX(市内行政区統計表!$A$7:$U$72,MATCH('ランキングツール（市内行政区）'!F28,市内行政区統計表!$U$7:$U$72,0),2)</f>
        <v>吉田二区</v>
      </c>
      <c r="D28" s="11">
        <f t="shared" ca="1" si="9"/>
        <v>543</v>
      </c>
      <c r="E28" s="32"/>
      <c r="F28" s="33">
        <f ca="1">LARGE(市内行政区統計表!$U$7:$U$72,'ランキングツール（市内行政区）'!B28)</f>
        <v>543.0032046253184</v>
      </c>
      <c r="G28" s="9">
        <v>17</v>
      </c>
      <c r="H28" s="10" t="str">
        <f ca="1">INDEX(市内行政区統計表!$A$7:$U$72,MATCH('ランキングツール（市内行政区）'!K28,市内行政区統計表!$U$7:$U$72,0),2)</f>
        <v>古町</v>
      </c>
      <c r="I28" s="11">
        <f t="shared" ca="1" si="10"/>
        <v>146</v>
      </c>
      <c r="J28" s="31"/>
      <c r="K28" s="33">
        <f ca="1">SMALL(市内行政区統計表!$U$7:$U$72,'ランキングツール（市内行政区）'!G28)</f>
        <v>146.00004004452722</v>
      </c>
    </row>
    <row r="29" spans="2:11" x14ac:dyDescent="0.4">
      <c r="B29" s="9">
        <v>18</v>
      </c>
      <c r="C29" s="10" t="str">
        <f ca="1">INDEX(市内行政区統計表!$A$7:$U$72,MATCH('ランキングツール（市内行政区）'!F29,市内行政区統計表!$U$7:$U$72,0),2)</f>
        <v>太田</v>
      </c>
      <c r="D29" s="11">
        <f t="shared" ca="1" si="9"/>
        <v>462</v>
      </c>
      <c r="E29" s="32"/>
      <c r="F29" s="33">
        <f ca="1">LARGE(市内行政区統計表!$U$7:$U$72,'ランキングツール（市内行政区）'!B29)</f>
        <v>462.00238002237177</v>
      </c>
      <c r="G29" s="9">
        <v>18</v>
      </c>
      <c r="H29" s="10" t="str">
        <f ca="1">INDEX(市内行政区統計表!$A$7:$U$72,MATCH('ランキングツール（市内行政区）'!K29,市内行政区統計表!$U$7:$U$72,0),2)</f>
        <v>柿沢</v>
      </c>
      <c r="I29" s="11">
        <f t="shared" ca="1" si="10"/>
        <v>149</v>
      </c>
      <c r="J29" s="31"/>
      <c r="K29" s="33">
        <f ca="1">SMALL(市内行政区統計表!$U$7:$U$72,'ランキングツール（市内行政区）'!G29)</f>
        <v>149.00041791959117</v>
      </c>
    </row>
    <row r="30" spans="2:11" x14ac:dyDescent="0.4">
      <c r="B30" s="9">
        <v>19</v>
      </c>
      <c r="C30" s="10" t="str">
        <f ca="1">INDEX(市内行政区統計表!$A$7:$U$72,MATCH('ランキングツール（市内行政区）'!F30,市内行政区統計表!$U$7:$U$72,0),2)</f>
        <v>北熊井</v>
      </c>
      <c r="D30" s="11">
        <f t="shared" ca="1" si="9"/>
        <v>428</v>
      </c>
      <c r="E30" s="32"/>
      <c r="F30" s="33">
        <f ca="1">LARGE(市内行政区統計表!$U$7:$U$72,'ランキングツール（市内行政区）'!B30)</f>
        <v>428.00307116510123</v>
      </c>
      <c r="G30" s="9">
        <v>19</v>
      </c>
      <c r="H30" s="10" t="str">
        <f ca="1">INDEX(市内行政区統計表!$A$7:$U$72,MATCH('ランキングツール（市内行政区）'!K30,市内行政区統計表!$U$7:$U$72,0),2)</f>
        <v>元町</v>
      </c>
      <c r="I30" s="11">
        <f t="shared" ca="1" si="10"/>
        <v>151</v>
      </c>
      <c r="J30" s="31"/>
      <c r="K30" s="33">
        <f ca="1">SMALL(市内行政区統計表!$U$7:$U$72,'ランキングツール（市内行政区）'!G30)</f>
        <v>151.0012979380345</v>
      </c>
    </row>
    <row r="31" spans="2:11" x14ac:dyDescent="0.4">
      <c r="B31" s="9">
        <v>20</v>
      </c>
      <c r="C31" s="10" t="str">
        <f ca="1">INDEX(市内行政区統計表!$A$7:$U$72,MATCH('ランキングツール（市内行政区）'!F31,市内行政区統計表!$U$7:$U$72,0),2)</f>
        <v>高出一区</v>
      </c>
      <c r="D31" s="11">
        <f t="shared" ca="1" si="9"/>
        <v>411</v>
      </c>
      <c r="E31" s="32"/>
      <c r="F31" s="33">
        <f ca="1">LARGE(市内行政区統計表!$U$7:$U$72,'ランキングツール（市内行政区）'!B31)</f>
        <v>411.00391897188257</v>
      </c>
      <c r="G31" s="9">
        <v>20</v>
      </c>
      <c r="H31" s="10" t="str">
        <f ca="1">INDEX(市内行政区統計表!$A$7:$U$72,MATCH('ランキングツール（市内行政区）'!K31,市内行政区統計表!$U$7:$U$72,0),2)</f>
        <v>大門八番町</v>
      </c>
      <c r="I31" s="11">
        <f t="shared" ca="1" si="10"/>
        <v>155</v>
      </c>
      <c r="J31" s="31"/>
      <c r="K31" s="33">
        <f ca="1">SMALL(市内行政区統計表!$U$7:$U$72,'ランキングツール（市内行政区）'!G31)</f>
        <v>155.0004033837223</v>
      </c>
    </row>
    <row r="32" spans="2:11" x14ac:dyDescent="0.4">
      <c r="B32" s="9">
        <v>21</v>
      </c>
      <c r="C32" s="10" t="str">
        <f ca="1">INDEX(市内行政区統計表!$A$7:$U$72,MATCH('ランキングツール（市内行政区）'!F32,市内行政区統計表!$U$7:$U$72,0),2)</f>
        <v>木曽平沢</v>
      </c>
      <c r="D32" s="11">
        <f t="shared" ca="1" si="9"/>
        <v>396</v>
      </c>
      <c r="E32" s="32"/>
      <c r="F32" s="33">
        <f ca="1">LARGE(市内行政区統計表!$U$7:$U$72,'ランキングツール（市内行政区）'!B32)</f>
        <v>396.00382639436538</v>
      </c>
      <c r="G32" s="9">
        <v>21</v>
      </c>
      <c r="H32" s="10" t="str">
        <f ca="1">INDEX(市内行政区統計表!$A$7:$U$72,MATCH('ランキングツール（市内行政区）'!K32,市内行政区統計表!$U$7:$U$72,0),2)</f>
        <v>上組</v>
      </c>
      <c r="I32" s="11">
        <f t="shared" ca="1" si="10"/>
        <v>170</v>
      </c>
      <c r="J32" s="31"/>
      <c r="K32" s="33">
        <f ca="1">SMALL(市内行政区統計表!$U$7:$U$72,'ランキングツール（市内行政区）'!G32)</f>
        <v>170.00083176374662</v>
      </c>
    </row>
    <row r="33" spans="2:11" x14ac:dyDescent="0.4">
      <c r="B33" s="9">
        <v>22</v>
      </c>
      <c r="C33" s="10" t="str">
        <f ca="1">INDEX(市内行政区統計表!$A$7:$U$72,MATCH('ランキングツール（市内行政区）'!F33,市内行政区統計表!$U$7:$U$72,0),2)</f>
        <v>大門六番町</v>
      </c>
      <c r="D33" s="11">
        <f t="shared" ca="1" si="9"/>
        <v>389</v>
      </c>
      <c r="E33" s="32"/>
      <c r="F33" s="33">
        <f ca="1">LARGE(市内行政区統計表!$U$7:$U$72,'ランキングツール（市内行政区）'!B33)</f>
        <v>389.00220593615404</v>
      </c>
      <c r="G33" s="9">
        <v>22</v>
      </c>
      <c r="H33" s="10" t="str">
        <f ca="1">INDEX(市内行政区統計表!$A$7:$U$72,MATCH('ランキングツール（市内行政区）'!K33,市内行政区統計表!$U$7:$U$72,0),2)</f>
        <v>大門四番町</v>
      </c>
      <c r="I33" s="11">
        <f t="shared" ca="1" si="10"/>
        <v>181</v>
      </c>
      <c r="J33" s="31"/>
      <c r="K33" s="33">
        <f ca="1">SMALL(市内行政区統計表!$U$7:$U$72,'ランキングツール（市内行政区）'!G33)</f>
        <v>181.00032593222952</v>
      </c>
    </row>
    <row r="34" spans="2:11" x14ac:dyDescent="0.4">
      <c r="B34" s="9">
        <v>23</v>
      </c>
      <c r="C34" s="10" t="str">
        <f ca="1">INDEX(市内行政区統計表!$A$7:$U$72,MATCH('ランキングツール（市内行政区）'!F34,市内行政区統計表!$U$7:$U$72,0),2)</f>
        <v>南内田</v>
      </c>
      <c r="D34" s="11">
        <f t="shared" ca="1" si="9"/>
        <v>372</v>
      </c>
      <c r="E34" s="32"/>
      <c r="F34" s="33">
        <f ca="1">LARGE(市内行政区統計表!$U$7:$U$72,'ランキングツール（市内行政区）'!B34)</f>
        <v>372.00231791387034</v>
      </c>
      <c r="G34" s="9">
        <v>23</v>
      </c>
      <c r="H34" s="10" t="str">
        <f ca="1">INDEX(市内行政区統計表!$A$7:$U$72,MATCH('ランキングツール（市内行政区）'!K34,市内行政区統計表!$U$7:$U$72,0),2)</f>
        <v>桟敷</v>
      </c>
      <c r="I34" s="11">
        <f t="shared" ca="1" si="10"/>
        <v>181</v>
      </c>
      <c r="J34" s="31"/>
      <c r="K34" s="33">
        <f ca="1">SMALL(市内行政区統計表!$U$7:$U$72,'ランキングツール（市内行政区）'!G34)</f>
        <v>181.00060779249117</v>
      </c>
    </row>
    <row r="35" spans="2:11" x14ac:dyDescent="0.4">
      <c r="B35" s="9">
        <v>24</v>
      </c>
      <c r="C35" s="10" t="str">
        <f ca="1">INDEX(市内行政区統計表!$A$7:$U$72,MATCH('ランキングツール（市内行政区）'!F35,市内行政区統計表!$U$7:$U$72,0),2)</f>
        <v>大門三番町</v>
      </c>
      <c r="D35" s="11">
        <f t="shared" ca="1" si="9"/>
        <v>359</v>
      </c>
      <c r="E35" s="32"/>
      <c r="F35" s="33">
        <f ca="1">LARGE(市内行政区統計表!$U$7:$U$72,'ランキングツール（市内行政区）'!B35)</f>
        <v>359.00112787061926</v>
      </c>
      <c r="G35" s="9">
        <v>24</v>
      </c>
      <c r="H35" s="10" t="str">
        <f ca="1">INDEX(市内行政区統計表!$A$7:$U$72,MATCH('ランキングツール（市内行政区）'!K35,市内行政区統計表!$U$7:$U$72,0),2)</f>
        <v>勝弦</v>
      </c>
      <c r="I35" s="11">
        <f t="shared" ca="1" si="10"/>
        <v>187</v>
      </c>
      <c r="J35" s="31"/>
      <c r="K35" s="33">
        <f ca="1">SMALL(市内行政区統計表!$U$7:$U$72,'ランキングツール（市内行政区）'!G35)</f>
        <v>187.00022693096446</v>
      </c>
    </row>
    <row r="36" spans="2:11" x14ac:dyDescent="0.4">
      <c r="B36" s="9">
        <v>25</v>
      </c>
      <c r="C36" s="10" t="str">
        <f ca="1">INDEX(市内行政区統計表!$A$7:$U$72,MATCH('ランキングツール（市内行政区）'!F36,市内行政区統計表!$U$7:$U$72,0),2)</f>
        <v>堀ノ内</v>
      </c>
      <c r="D36" s="11">
        <f t="shared" ca="1" si="9"/>
        <v>342</v>
      </c>
      <c r="E36" s="32"/>
      <c r="F36" s="33">
        <f ca="1">LARGE(市内行政区統計表!$U$7:$U$72,'ランキングツール（市内行政区）'!B36)</f>
        <v>342.00106467536608</v>
      </c>
      <c r="G36" s="9">
        <v>25</v>
      </c>
      <c r="H36" s="10" t="str">
        <f ca="1">INDEX(市内行政区統計表!$A$7:$U$72,MATCH('ランキングツール（市内行政区）'!K36,市内行政区統計表!$U$7:$U$72,0),2)</f>
        <v>上西条</v>
      </c>
      <c r="I36" s="11">
        <f t="shared" ca="1" si="10"/>
        <v>192</v>
      </c>
      <c r="J36" s="31"/>
      <c r="K36" s="33">
        <f ca="1">SMALL(市内行政区統計表!$U$7:$U$72,'ランキングツール（市内行政区）'!G36)</f>
        <v>192.0000817353507</v>
      </c>
    </row>
    <row r="37" spans="2:11" x14ac:dyDescent="0.4">
      <c r="B37" s="9">
        <v>26</v>
      </c>
      <c r="C37" s="10" t="str">
        <f ca="1">INDEX(市内行政区統計表!$A$7:$U$72,MATCH('ランキングツール（市内行政区）'!F37,市内行政区統計表!$U$7:$U$72,0),2)</f>
        <v>牧野</v>
      </c>
      <c r="D37" s="11">
        <f t="shared" ca="1" si="9"/>
        <v>316</v>
      </c>
      <c r="E37" s="32"/>
      <c r="F37" s="33">
        <f ca="1">LARGE(市内行政区統計表!$U$7:$U$72,'ランキングツール（市内行政区）'!B37)</f>
        <v>316.0014148515354</v>
      </c>
      <c r="G37" s="9">
        <v>26</v>
      </c>
      <c r="H37" s="10" t="str">
        <f ca="1">INDEX(市内行政区統計表!$A$7:$U$72,MATCH('ランキングツール（市内行政区）'!K37,市内行政区統計表!$U$7:$U$72,0),2)</f>
        <v>下西条</v>
      </c>
      <c r="I37" s="11">
        <f t="shared" ca="1" si="10"/>
        <v>195</v>
      </c>
      <c r="J37" s="31"/>
      <c r="K37" s="33">
        <f ca="1">SMALL(市内行政区統計表!$U$7:$U$72,'ランキングツール（市内行政区）'!G37)</f>
        <v>195.00044747833365</v>
      </c>
    </row>
    <row r="38" spans="2:11" x14ac:dyDescent="0.4">
      <c r="B38" s="9">
        <v>27</v>
      </c>
      <c r="C38" s="10" t="str">
        <f ca="1">INDEX(市内行政区統計表!$A$7:$U$72,MATCH('ランキングツール（市内行政区）'!F38,市内行政区統計表!$U$7:$U$72,0),2)</f>
        <v>平出</v>
      </c>
      <c r="D38" s="11">
        <f t="shared" ca="1" si="9"/>
        <v>308</v>
      </c>
      <c r="E38" s="32"/>
      <c r="F38" s="33">
        <f ca="1">LARGE(市内行政区統計表!$U$7:$U$72,'ランキングツール（市内行政区）'!B38)</f>
        <v>308.0019089141993</v>
      </c>
      <c r="G38" s="9">
        <v>27</v>
      </c>
      <c r="H38" s="10" t="str">
        <f ca="1">INDEX(市内行政区統計表!$A$7:$U$72,MATCH('ランキングツール（市内行政区）'!K38,市内行政区統計表!$U$7:$U$72,0),2)</f>
        <v>南熊井</v>
      </c>
      <c r="I38" s="11">
        <f t="shared" ca="1" si="10"/>
        <v>198</v>
      </c>
      <c r="J38" s="31"/>
      <c r="K38" s="33">
        <f ca="1">SMALL(市内行政区統計表!$U$7:$U$72,'ランキングツール（市内行政区）'!G38)</f>
        <v>198.00112761599183</v>
      </c>
    </row>
    <row r="39" spans="2:11" x14ac:dyDescent="0.4">
      <c r="B39" s="9">
        <v>28</v>
      </c>
      <c r="C39" s="10" t="str">
        <f ca="1">INDEX(市内行政区統計表!$A$7:$U$72,MATCH('ランキングツール（市内行政区）'!F39,市内行政区統計表!$U$7:$U$72,0),2)</f>
        <v>大門二番町</v>
      </c>
      <c r="D39" s="11">
        <f t="shared" ca="1" si="9"/>
        <v>301</v>
      </c>
      <c r="E39" s="32"/>
      <c r="F39" s="33">
        <f ca="1">LARGE(市内行政区統計表!$U$7:$U$72,'ランキングツール（市内行政区）'!B39)</f>
        <v>301.00142199857032</v>
      </c>
      <c r="G39" s="9">
        <v>28</v>
      </c>
      <c r="H39" s="10" t="str">
        <f ca="1">INDEX(市内行政区統計表!$A$7:$U$72,MATCH('ランキングツール（市内行政区）'!K39,市内行政区統計表!$U$7:$U$72,0),2)</f>
        <v>大門田川町</v>
      </c>
      <c r="I39" s="11">
        <f t="shared" ca="1" si="10"/>
        <v>201</v>
      </c>
      <c r="J39" s="31"/>
      <c r="K39" s="33">
        <f ca="1">SMALL(市内行政区統計表!$U$7:$U$72,'ランキングツール（市内行政区）'!G39)</f>
        <v>201.00080161805334</v>
      </c>
    </row>
    <row r="40" spans="2:11" x14ac:dyDescent="0.4">
      <c r="B40" s="9">
        <v>29</v>
      </c>
      <c r="C40" s="10" t="str">
        <f ca="1">INDEX(市内行政区統計表!$A$7:$U$72,MATCH('ランキングツール（市内行政区）'!F40,市内行政区統計表!$U$7:$U$72,0),2)</f>
        <v>大門七番町</v>
      </c>
      <c r="D40" s="11">
        <f t="shared" ca="1" si="9"/>
        <v>285</v>
      </c>
      <c r="E40" s="32"/>
      <c r="F40" s="33">
        <f ca="1">LARGE(市内行政区統計表!$U$7:$U$72,'ランキングツール（市内行政区）'!B40)</f>
        <v>285.00163744524082</v>
      </c>
      <c r="G40" s="9">
        <v>29</v>
      </c>
      <c r="H40" s="10" t="str">
        <f ca="1">INDEX(市内行政区統計表!$A$7:$U$72,MATCH('ランキングツール（市内行政区）'!K40,市内行政区統計表!$U$7:$U$72,0),2)</f>
        <v>大出</v>
      </c>
      <c r="I40" s="11">
        <f t="shared" ca="1" si="10"/>
        <v>202</v>
      </c>
      <c r="J40" s="31"/>
      <c r="K40" s="33">
        <f ca="1">SMALL(市内行政区統計表!$U$7:$U$72,'ランキングツール（市内行政区）'!G40)</f>
        <v>202.00187043487583</v>
      </c>
    </row>
    <row r="41" spans="2:11" x14ac:dyDescent="0.4">
      <c r="B41" s="9">
        <v>30</v>
      </c>
      <c r="C41" s="10" t="str">
        <f ca="1">INDEX(市内行政区統計表!$A$7:$U$72,MATCH('ランキングツール（市内行政区）'!F41,市内行政区統計表!$U$7:$U$72,0),2)</f>
        <v>奈良井</v>
      </c>
      <c r="D41" s="11">
        <f t="shared" ca="1" si="9"/>
        <v>277</v>
      </c>
      <c r="E41" s="32"/>
      <c r="F41" s="33">
        <f ca="1">LARGE(市内行政区統計表!$U$7:$U$72,'ランキングツール（市内行政区）'!B41)</f>
        <v>277.00159077914094</v>
      </c>
      <c r="G41" s="9">
        <v>30</v>
      </c>
      <c r="H41" s="10" t="str">
        <f ca="1">INDEX(市内行政区統計表!$A$7:$U$72,MATCH('ランキングツール（市内行政区）'!K41,市内行政区統計表!$U$7:$U$72,0),2)</f>
        <v>岩垂</v>
      </c>
      <c r="I41" s="11">
        <f t="shared" ca="1" si="10"/>
        <v>203</v>
      </c>
      <c r="J41" s="31"/>
      <c r="K41" s="33">
        <f ca="1">SMALL(市内行政区統計表!$U$7:$U$72,'ランキングツール（市内行政区）'!G41)</f>
        <v>203.00077775235698</v>
      </c>
    </row>
    <row r="42" spans="2:11" x14ac:dyDescent="0.4">
      <c r="B42" s="9">
        <v>31</v>
      </c>
      <c r="C42" s="10" t="str">
        <f ca="1">INDEX(市内行政区統計表!$A$7:$U$72,MATCH('ランキングツール（市内行政区）'!F42,市内行政区統計表!$U$7:$U$72,0),2)</f>
        <v>芦ノ田</v>
      </c>
      <c r="D42" s="11">
        <f t="shared" ca="1" si="9"/>
        <v>272</v>
      </c>
      <c r="E42" s="32"/>
      <c r="F42" s="33">
        <f ca="1">LARGE(市内行政区統計表!$U$7:$U$72,'ランキングツール（市内行政区）'!B42)</f>
        <v>272.00251305841891</v>
      </c>
      <c r="G42" s="9">
        <v>31</v>
      </c>
      <c r="H42" s="10" t="str">
        <f ca="1">INDEX(市内行政区統計表!$A$7:$U$72,MATCH('ランキングツール（市内行政区）'!K42,市内行政区統計表!$U$7:$U$72,0),2)</f>
        <v>床尾</v>
      </c>
      <c r="I42" s="11">
        <f t="shared" ca="1" si="10"/>
        <v>203</v>
      </c>
      <c r="J42" s="31"/>
      <c r="K42" s="33">
        <f ca="1">SMALL(市内行政区統計表!$U$7:$U$72,'ランキングツール（市内行政区）'!G42)</f>
        <v>203.00185156651378</v>
      </c>
    </row>
    <row r="43" spans="2:11" x14ac:dyDescent="0.4">
      <c r="B43" s="9">
        <v>32</v>
      </c>
      <c r="C43" s="10" t="str">
        <f ca="1">INDEX(市内行政区統計表!$A$7:$U$72,MATCH('ランキングツール（市内行政区）'!F43,市内行政区統計表!$U$7:$U$72,0),2)</f>
        <v>洗馬</v>
      </c>
      <c r="D43" s="11">
        <f t="shared" ca="1" si="9"/>
        <v>256</v>
      </c>
      <c r="E43" s="32"/>
      <c r="F43" s="33">
        <f ca="1">LARGE(市内行政区統計表!$U$7:$U$72,'ランキングツール（市内行政区）'!B43)</f>
        <v>256.00067427864053</v>
      </c>
      <c r="G43" s="9">
        <v>32</v>
      </c>
      <c r="H43" s="10" t="str">
        <f ca="1">INDEX(市内行政区統計表!$A$7:$U$72,MATCH('ランキングツール（市内行政区）'!K43,市内行政区統計表!$U$7:$U$72,0),2)</f>
        <v>峰原</v>
      </c>
      <c r="I43" s="11">
        <f t="shared" ca="1" si="10"/>
        <v>219</v>
      </c>
      <c r="J43" s="31"/>
      <c r="K43" s="33">
        <f ca="1">SMALL(市内行政区統計表!$U$7:$U$72,'ランキングツール（市内行政区）'!G43)</f>
        <v>219.00084644419849</v>
      </c>
    </row>
    <row r="44" spans="2:11" x14ac:dyDescent="0.4">
      <c r="B44" s="9">
        <v>33</v>
      </c>
      <c r="C44" s="10" t="str">
        <f ca="1">INDEX(市内行政区統計表!$A$7:$U$72,MATCH('ランキングツール（市内行政区）'!F44,市内行政区統計表!$U$7:$U$72,0),2)</f>
        <v>下小曽部</v>
      </c>
      <c r="D44" s="11">
        <f t="shared" ca="1" si="9"/>
        <v>254</v>
      </c>
      <c r="E44" s="32"/>
      <c r="F44" s="33">
        <f ca="1">LARGE(市内行政区統計表!$U$7:$U$72,'ランキングツール（市内行政区）'!B44)</f>
        <v>254.00014185859715</v>
      </c>
      <c r="G44" s="9">
        <v>33</v>
      </c>
      <c r="H44" s="10" t="str">
        <f ca="1">INDEX(市内行政区統計表!$A$7:$U$72,MATCH('ランキングツール（市内行政区）'!K44,市内行政区統計表!$U$7:$U$72,0),2)</f>
        <v>贄川</v>
      </c>
      <c r="I44" s="11">
        <f t="shared" ca="1" si="10"/>
        <v>237</v>
      </c>
      <c r="J44" s="31"/>
      <c r="K44" s="33">
        <f ca="1">SMALL(市内行政区統計表!$U$7:$U$72,'ランキングツール（市内行政区）'!G44)</f>
        <v>237.00013744738823</v>
      </c>
    </row>
    <row r="45" spans="2:11" x14ac:dyDescent="0.4">
      <c r="B45" s="9">
        <v>34</v>
      </c>
      <c r="C45" s="10" t="str">
        <f ca="1">INDEX(市内行政区統計表!$A$7:$U$72,MATCH('ランキングツール（市内行政区）'!F45,市内行政区統計表!$U$7:$U$72,0),2)</f>
        <v>贄川</v>
      </c>
      <c r="D45" s="11">
        <f t="shared" ca="1" si="9"/>
        <v>237</v>
      </c>
      <c r="E45" s="32"/>
      <c r="F45" s="33">
        <f ca="1">LARGE(市内行政区統計表!$U$7:$U$72,'ランキングツール（市内行政区）'!B45)</f>
        <v>237.00013744738823</v>
      </c>
      <c r="G45" s="9">
        <v>34</v>
      </c>
      <c r="H45" s="10" t="str">
        <f ca="1">INDEX(市内行政区統計表!$A$7:$U$72,MATCH('ランキングツール（市内行政区）'!K45,市内行政区統計表!$U$7:$U$72,0),2)</f>
        <v>下小曽部</v>
      </c>
      <c r="I45" s="11">
        <f t="shared" ca="1" si="10"/>
        <v>254</v>
      </c>
      <c r="J45" s="31"/>
      <c r="K45" s="33">
        <f ca="1">SMALL(市内行政区統計表!$U$7:$U$72,'ランキングツール（市内行政区）'!G45)</f>
        <v>254.00014185859715</v>
      </c>
    </row>
    <row r="46" spans="2:11" x14ac:dyDescent="0.4">
      <c r="B46" s="9">
        <v>35</v>
      </c>
      <c r="C46" s="10" t="str">
        <f ca="1">INDEX(市内行政区統計表!$A$7:$U$72,MATCH('ランキングツール（市内行政区）'!F46,市内行政区統計表!$U$7:$U$72,0),2)</f>
        <v>峰原</v>
      </c>
      <c r="D46" s="11">
        <f t="shared" ca="1" si="9"/>
        <v>219</v>
      </c>
      <c r="E46" s="32"/>
      <c r="F46" s="33">
        <f ca="1">LARGE(市内行政区統計表!$U$7:$U$72,'ランキングツール（市内行政区）'!B46)</f>
        <v>219.00084644419849</v>
      </c>
      <c r="G46" s="9">
        <v>35</v>
      </c>
      <c r="H46" s="10" t="str">
        <f ca="1">INDEX(市内行政区統計表!$A$7:$U$72,MATCH('ランキングツール（市内行政区）'!K46,市内行政区統計表!$U$7:$U$72,0),2)</f>
        <v>洗馬</v>
      </c>
      <c r="I46" s="11">
        <f t="shared" ca="1" si="10"/>
        <v>256</v>
      </c>
      <c r="J46" s="31"/>
      <c r="K46" s="33">
        <f ca="1">SMALL(市内行政区統計表!$U$7:$U$72,'ランキングツール（市内行政区）'!G46)</f>
        <v>256.00067427864053</v>
      </c>
    </row>
    <row r="47" spans="2:11" x14ac:dyDescent="0.4">
      <c r="B47" s="9">
        <v>36</v>
      </c>
      <c r="C47" s="10" t="str">
        <f ca="1">INDEX(市内行政区統計表!$A$7:$U$72,MATCH('ランキングツール（市内行政区）'!F47,市内行政区統計表!$U$7:$U$72,0),2)</f>
        <v>床尾</v>
      </c>
      <c r="D47" s="11">
        <f t="shared" ca="1" si="9"/>
        <v>203</v>
      </c>
      <c r="E47" s="32"/>
      <c r="F47" s="33">
        <f ca="1">LARGE(市内行政区統計表!$U$7:$U$72,'ランキングツール（市内行政区）'!B47)</f>
        <v>203.00185156651378</v>
      </c>
      <c r="G47" s="9">
        <v>36</v>
      </c>
      <c r="H47" s="10" t="str">
        <f ca="1">INDEX(市内行政区統計表!$A$7:$U$72,MATCH('ランキングツール（市内行政区）'!K47,市内行政区統計表!$U$7:$U$72,0),2)</f>
        <v>芦ノ田</v>
      </c>
      <c r="I47" s="11">
        <f t="shared" ca="1" si="10"/>
        <v>272</v>
      </c>
      <c r="J47" s="31"/>
      <c r="K47" s="33">
        <f ca="1">SMALL(市内行政区統計表!$U$7:$U$72,'ランキングツール（市内行政区）'!G47)</f>
        <v>272.00251305841891</v>
      </c>
    </row>
    <row r="48" spans="2:11" x14ac:dyDescent="0.4">
      <c r="B48" s="9">
        <v>37</v>
      </c>
      <c r="C48" s="10" t="str">
        <f ca="1">INDEX(市内行政区統計表!$A$7:$U$72,MATCH('ランキングツール（市内行政区）'!F48,市内行政区統計表!$U$7:$U$72,0),2)</f>
        <v>岩垂</v>
      </c>
      <c r="D48" s="11">
        <f t="shared" ca="1" si="9"/>
        <v>203</v>
      </c>
      <c r="E48" s="32"/>
      <c r="F48" s="33">
        <f ca="1">LARGE(市内行政区統計表!$U$7:$U$72,'ランキングツール（市内行政区）'!B48)</f>
        <v>203.00077775235698</v>
      </c>
      <c r="G48" s="9">
        <v>37</v>
      </c>
      <c r="H48" s="10" t="str">
        <f ca="1">INDEX(市内行政区統計表!$A$7:$U$72,MATCH('ランキングツール（市内行政区）'!K48,市内行政区統計表!$U$7:$U$72,0),2)</f>
        <v>奈良井</v>
      </c>
      <c r="I48" s="11">
        <f t="shared" ca="1" si="10"/>
        <v>277</v>
      </c>
      <c r="J48" s="31"/>
      <c r="K48" s="33">
        <f ca="1">SMALL(市内行政区統計表!$U$7:$U$72,'ランキングツール（市内行政区）'!G48)</f>
        <v>277.00159077914094</v>
      </c>
    </row>
    <row r="49" spans="2:11" x14ac:dyDescent="0.4">
      <c r="B49" s="9">
        <v>38</v>
      </c>
      <c r="C49" s="10" t="str">
        <f ca="1">INDEX(市内行政区統計表!$A$7:$U$72,MATCH('ランキングツール（市内行政区）'!F49,市内行政区統計表!$U$7:$U$72,0),2)</f>
        <v>大出</v>
      </c>
      <c r="D49" s="11">
        <f t="shared" ca="1" si="9"/>
        <v>202</v>
      </c>
      <c r="E49" s="32"/>
      <c r="F49" s="33">
        <f ca="1">LARGE(市内行政区統計表!$U$7:$U$72,'ランキングツール（市内行政区）'!B49)</f>
        <v>202.00187043487583</v>
      </c>
      <c r="G49" s="9">
        <v>38</v>
      </c>
      <c r="H49" s="10" t="str">
        <f ca="1">INDEX(市内行政区統計表!$A$7:$U$72,MATCH('ランキングツール（市内行政区）'!K49,市内行政区統計表!$U$7:$U$72,0),2)</f>
        <v>大門七番町</v>
      </c>
      <c r="I49" s="11">
        <f t="shared" ca="1" si="10"/>
        <v>285</v>
      </c>
      <c r="J49" s="31"/>
      <c r="K49" s="33">
        <f ca="1">SMALL(市内行政区統計表!$U$7:$U$72,'ランキングツール（市内行政区）'!G49)</f>
        <v>285.00163744524082</v>
      </c>
    </row>
    <row r="50" spans="2:11" x14ac:dyDescent="0.4">
      <c r="B50" s="9">
        <v>39</v>
      </c>
      <c r="C50" s="10" t="str">
        <f ca="1">INDEX(市内行政区統計表!$A$7:$U$72,MATCH('ランキングツール（市内行政区）'!F50,市内行政区統計表!$U$7:$U$72,0),2)</f>
        <v>大門田川町</v>
      </c>
      <c r="D50" s="11">
        <f t="shared" ca="1" si="9"/>
        <v>201</v>
      </c>
      <c r="E50" s="32"/>
      <c r="F50" s="33">
        <f ca="1">LARGE(市内行政区統計表!$U$7:$U$72,'ランキングツール（市内行政区）'!B50)</f>
        <v>201.00080161805334</v>
      </c>
      <c r="G50" s="9">
        <v>39</v>
      </c>
      <c r="H50" s="10" t="str">
        <f ca="1">INDEX(市内行政区統計表!$A$7:$U$72,MATCH('ランキングツール（市内行政区）'!K50,市内行政区統計表!$U$7:$U$72,0),2)</f>
        <v>大門二番町</v>
      </c>
      <c r="I50" s="11">
        <f t="shared" ca="1" si="10"/>
        <v>301</v>
      </c>
      <c r="J50" s="31"/>
      <c r="K50" s="33">
        <f ca="1">SMALL(市内行政区統計表!$U$7:$U$72,'ランキングツール（市内行政区）'!G50)</f>
        <v>301.00142199857032</v>
      </c>
    </row>
    <row r="51" spans="2:11" x14ac:dyDescent="0.4">
      <c r="B51" s="9">
        <v>40</v>
      </c>
      <c r="C51" s="10" t="str">
        <f ca="1">INDEX(市内行政区統計表!$A$7:$U$72,MATCH('ランキングツール（市内行政区）'!F51,市内行政区統計表!$U$7:$U$72,0),2)</f>
        <v>南熊井</v>
      </c>
      <c r="D51" s="11">
        <f t="shared" ca="1" si="9"/>
        <v>198</v>
      </c>
      <c r="E51" s="32"/>
      <c r="F51" s="33">
        <f ca="1">LARGE(市内行政区統計表!$U$7:$U$72,'ランキングツール（市内行政区）'!B51)</f>
        <v>198.00112761599183</v>
      </c>
      <c r="G51" s="9">
        <v>40</v>
      </c>
      <c r="H51" s="10" t="str">
        <f ca="1">INDEX(市内行政区統計表!$A$7:$U$72,MATCH('ランキングツール（市内行政区）'!K51,市内行政区統計表!$U$7:$U$72,0),2)</f>
        <v>平出</v>
      </c>
      <c r="I51" s="11">
        <f t="shared" ca="1" si="10"/>
        <v>308</v>
      </c>
      <c r="J51" s="31"/>
      <c r="K51" s="33">
        <f ca="1">SMALL(市内行政区統計表!$U$7:$U$72,'ランキングツール（市内行政区）'!G51)</f>
        <v>308.0019089141993</v>
      </c>
    </row>
    <row r="52" spans="2:11" x14ac:dyDescent="0.4">
      <c r="B52" s="9">
        <v>41</v>
      </c>
      <c r="C52" s="10" t="str">
        <f ca="1">INDEX(市内行政区統計表!$A$7:$U$72,MATCH('ランキングツール（市内行政区）'!F52,市内行政区統計表!$U$7:$U$72,0),2)</f>
        <v>下西条</v>
      </c>
      <c r="D52" s="11">
        <f t="shared" ca="1" si="9"/>
        <v>195</v>
      </c>
      <c r="E52" s="32"/>
      <c r="F52" s="33">
        <f ca="1">LARGE(市内行政区統計表!$U$7:$U$72,'ランキングツール（市内行政区）'!B52)</f>
        <v>195.00044747833365</v>
      </c>
      <c r="G52" s="9">
        <v>41</v>
      </c>
      <c r="H52" s="10" t="str">
        <f ca="1">INDEX(市内行政区統計表!$A$7:$U$72,MATCH('ランキングツール（市内行政区）'!K52,市内行政区統計表!$U$7:$U$72,0),2)</f>
        <v>牧野</v>
      </c>
      <c r="I52" s="11">
        <f t="shared" ca="1" si="10"/>
        <v>316</v>
      </c>
      <c r="J52" s="31"/>
      <c r="K52" s="33">
        <f ca="1">SMALL(市内行政区統計表!$U$7:$U$72,'ランキングツール（市内行政区）'!G52)</f>
        <v>316.0014148515354</v>
      </c>
    </row>
    <row r="53" spans="2:11" x14ac:dyDescent="0.4">
      <c r="B53" s="9">
        <v>42</v>
      </c>
      <c r="C53" s="10" t="str">
        <f ca="1">INDEX(市内行政区統計表!$A$7:$U$72,MATCH('ランキングツール（市内行政区）'!F53,市内行政区統計表!$U$7:$U$72,0),2)</f>
        <v>上西条</v>
      </c>
      <c r="D53" s="11">
        <f t="shared" ca="1" si="9"/>
        <v>192</v>
      </c>
      <c r="E53" s="32"/>
      <c r="F53" s="33">
        <f ca="1">LARGE(市内行政区統計表!$U$7:$U$72,'ランキングツール（市内行政区）'!B53)</f>
        <v>192.0000817353507</v>
      </c>
      <c r="G53" s="9">
        <v>42</v>
      </c>
      <c r="H53" s="10" t="str">
        <f ca="1">INDEX(市内行政区統計表!$A$7:$U$72,MATCH('ランキングツール（市内行政区）'!K53,市内行政区統計表!$U$7:$U$72,0),2)</f>
        <v>堀ノ内</v>
      </c>
      <c r="I53" s="11">
        <f t="shared" ca="1" si="10"/>
        <v>342</v>
      </c>
      <c r="J53" s="31"/>
      <c r="K53" s="33">
        <f ca="1">SMALL(市内行政区統計表!$U$7:$U$72,'ランキングツール（市内行政区）'!G53)</f>
        <v>342.00106467536608</v>
      </c>
    </row>
    <row r="54" spans="2:11" x14ac:dyDescent="0.4">
      <c r="B54" s="9">
        <v>43</v>
      </c>
      <c r="C54" s="10" t="str">
        <f ca="1">INDEX(市内行政区統計表!$A$7:$U$72,MATCH('ランキングツール（市内行政区）'!F54,市内行政区統計表!$U$7:$U$72,0),2)</f>
        <v>勝弦</v>
      </c>
      <c r="D54" s="11">
        <f t="shared" ca="1" si="9"/>
        <v>187</v>
      </c>
      <c r="E54" s="32"/>
      <c r="F54" s="33">
        <f ca="1">LARGE(市内行政区統計表!$U$7:$U$72,'ランキングツール（市内行政区）'!B54)</f>
        <v>187.00022693096446</v>
      </c>
      <c r="G54" s="9">
        <v>43</v>
      </c>
      <c r="H54" s="10" t="str">
        <f ca="1">INDEX(市内行政区統計表!$A$7:$U$72,MATCH('ランキングツール（市内行政区）'!K54,市内行政区統計表!$U$7:$U$72,0),2)</f>
        <v>大門三番町</v>
      </c>
      <c r="I54" s="11">
        <f t="shared" ca="1" si="10"/>
        <v>359</v>
      </c>
      <c r="J54" s="31"/>
      <c r="K54" s="33">
        <f ca="1">SMALL(市内行政区統計表!$U$7:$U$72,'ランキングツール（市内行政区）'!G54)</f>
        <v>359.00112787061926</v>
      </c>
    </row>
    <row r="55" spans="2:11" x14ac:dyDescent="0.4">
      <c r="B55" s="9">
        <v>44</v>
      </c>
      <c r="C55" s="10" t="str">
        <f ca="1">INDEX(市内行政区統計表!$A$7:$U$72,MATCH('ランキングツール（市内行政区）'!F55,市内行政区統計表!$U$7:$U$72,0),2)</f>
        <v>桟敷</v>
      </c>
      <c r="D55" s="11">
        <f t="shared" ca="1" si="9"/>
        <v>181</v>
      </c>
      <c r="E55" s="32"/>
      <c r="F55" s="33">
        <f ca="1">LARGE(市内行政区統計表!$U$7:$U$72,'ランキングツール（市内行政区）'!B55)</f>
        <v>181.00060779249117</v>
      </c>
      <c r="G55" s="9">
        <v>44</v>
      </c>
      <c r="H55" s="10" t="str">
        <f ca="1">INDEX(市内行政区統計表!$A$7:$U$72,MATCH('ランキングツール（市内行政区）'!K55,市内行政区統計表!$U$7:$U$72,0),2)</f>
        <v>南内田</v>
      </c>
      <c r="I55" s="11">
        <f t="shared" ca="1" si="10"/>
        <v>372</v>
      </c>
      <c r="J55" s="31"/>
      <c r="K55" s="33">
        <f ca="1">SMALL(市内行政区統計表!$U$7:$U$72,'ランキングツール（市内行政区）'!G55)</f>
        <v>372.00231791387034</v>
      </c>
    </row>
    <row r="56" spans="2:11" x14ac:dyDescent="0.4">
      <c r="B56" s="9">
        <v>45</v>
      </c>
      <c r="C56" s="10" t="str">
        <f ca="1">INDEX(市内行政区統計表!$A$7:$U$72,MATCH('ランキングツール（市内行政区）'!F56,市内行政区統計表!$U$7:$U$72,0),2)</f>
        <v>大門四番町</v>
      </c>
      <c r="D56" s="11">
        <f t="shared" ca="1" si="9"/>
        <v>181</v>
      </c>
      <c r="E56" s="32"/>
      <c r="F56" s="33">
        <f ca="1">LARGE(市内行政区統計表!$U$7:$U$72,'ランキングツール（市内行政区）'!B56)</f>
        <v>181.00032593222952</v>
      </c>
      <c r="G56" s="9">
        <v>45</v>
      </c>
      <c r="H56" s="10" t="str">
        <f ca="1">INDEX(市内行政区統計表!$A$7:$U$72,MATCH('ランキングツール（市内行政区）'!K56,市内行政区統計表!$U$7:$U$72,0),2)</f>
        <v>大門六番町</v>
      </c>
      <c r="I56" s="11">
        <f t="shared" ca="1" si="10"/>
        <v>389</v>
      </c>
      <c r="J56" s="31"/>
      <c r="K56" s="33">
        <f ca="1">SMALL(市内行政区統計表!$U$7:$U$72,'ランキングツール（市内行政区）'!G56)</f>
        <v>389.00220593615404</v>
      </c>
    </row>
    <row r="57" spans="2:11" x14ac:dyDescent="0.4">
      <c r="B57" s="9">
        <v>46</v>
      </c>
      <c r="C57" s="10" t="str">
        <f ca="1">INDEX(市内行政区統計表!$A$7:$U$72,MATCH('ランキングツール（市内行政区）'!F57,市内行政区統計表!$U$7:$U$72,0),2)</f>
        <v>上組</v>
      </c>
      <c r="D57" s="11">
        <f t="shared" ca="1" si="9"/>
        <v>170</v>
      </c>
      <c r="E57" s="32"/>
      <c r="F57" s="33">
        <f ca="1">LARGE(市内行政区統計表!$U$7:$U$72,'ランキングツール（市内行政区）'!B57)</f>
        <v>170.00083176374662</v>
      </c>
      <c r="G57" s="9">
        <v>46</v>
      </c>
      <c r="H57" s="10" t="str">
        <f ca="1">INDEX(市内行政区統計表!$A$7:$U$72,MATCH('ランキングツール（市内行政区）'!K57,市内行政区統計表!$U$7:$U$72,0),2)</f>
        <v>木曽平沢</v>
      </c>
      <c r="I57" s="11">
        <f t="shared" ca="1" si="10"/>
        <v>396</v>
      </c>
      <c r="J57" s="31"/>
      <c r="K57" s="33">
        <f ca="1">SMALL(市内行政区統計表!$U$7:$U$72,'ランキングツール（市内行政区）'!G57)</f>
        <v>396.00382639436538</v>
      </c>
    </row>
    <row r="58" spans="2:11" x14ac:dyDescent="0.4">
      <c r="B58" s="9">
        <v>47</v>
      </c>
      <c r="C58" s="10" t="str">
        <f ca="1">INDEX(市内行政区統計表!$A$7:$U$72,MATCH('ランキングツール（市内行政区）'!F58,市内行政区統計表!$U$7:$U$72,0),2)</f>
        <v>大門八番町</v>
      </c>
      <c r="D58" s="11">
        <f t="shared" ca="1" si="9"/>
        <v>155</v>
      </c>
      <c r="E58" s="32"/>
      <c r="F58" s="33">
        <f ca="1">LARGE(市内行政区統計表!$U$7:$U$72,'ランキングツール（市内行政区）'!B58)</f>
        <v>155.0004033837223</v>
      </c>
      <c r="G58" s="9">
        <v>47</v>
      </c>
      <c r="H58" s="10" t="str">
        <f ca="1">INDEX(市内行政区統計表!$A$7:$U$72,MATCH('ランキングツール（市内行政区）'!K58,市内行政区統計表!$U$7:$U$72,0),2)</f>
        <v>高出一区</v>
      </c>
      <c r="I58" s="11">
        <f t="shared" ca="1" si="10"/>
        <v>411</v>
      </c>
      <c r="J58" s="31"/>
      <c r="K58" s="33">
        <f ca="1">SMALL(市内行政区統計表!$U$7:$U$72,'ランキングツール（市内行政区）'!G58)</f>
        <v>411.00391897188257</v>
      </c>
    </row>
    <row r="59" spans="2:11" x14ac:dyDescent="0.4">
      <c r="B59" s="9">
        <v>48</v>
      </c>
      <c r="C59" s="10" t="str">
        <f ca="1">INDEX(市内行政区統計表!$A$7:$U$72,MATCH('ランキングツール（市内行政区）'!F59,市内行政区統計表!$U$7:$U$72,0),2)</f>
        <v>元町</v>
      </c>
      <c r="D59" s="11">
        <f t="shared" ca="1" si="9"/>
        <v>151</v>
      </c>
      <c r="E59" s="32"/>
      <c r="F59" s="33">
        <f ca="1">LARGE(市内行政区統計表!$U$7:$U$72,'ランキングツール（市内行政区）'!B59)</f>
        <v>151.0012979380345</v>
      </c>
      <c r="G59" s="9">
        <v>48</v>
      </c>
      <c r="H59" s="10" t="str">
        <f ca="1">INDEX(市内行政区統計表!$A$7:$U$72,MATCH('ランキングツール（市内行政区）'!K59,市内行政区統計表!$U$7:$U$72,0),2)</f>
        <v>北熊井</v>
      </c>
      <c r="I59" s="11">
        <f t="shared" ca="1" si="10"/>
        <v>428</v>
      </c>
      <c r="J59" s="31"/>
      <c r="K59" s="33">
        <f ca="1">SMALL(市内行政区統計表!$U$7:$U$72,'ランキングツール（市内行政区）'!G59)</f>
        <v>428.00307116510123</v>
      </c>
    </row>
    <row r="60" spans="2:11" x14ac:dyDescent="0.4">
      <c r="B60" s="9">
        <v>49</v>
      </c>
      <c r="C60" s="10" t="str">
        <f ca="1">INDEX(市内行政区統計表!$A$7:$U$72,MATCH('ランキングツール（市内行政区）'!F60,市内行政区統計表!$U$7:$U$72,0),2)</f>
        <v>柿沢</v>
      </c>
      <c r="D60" s="11">
        <f t="shared" ca="1" si="9"/>
        <v>149</v>
      </c>
      <c r="E60" s="32"/>
      <c r="F60" s="33">
        <f ca="1">LARGE(市内行政区統計表!$U$7:$U$72,'ランキングツール（市内行政区）'!B60)</f>
        <v>149.00041791959117</v>
      </c>
      <c r="G60" s="9">
        <v>49</v>
      </c>
      <c r="H60" s="10" t="str">
        <f ca="1">INDEX(市内行政区統計表!$A$7:$U$72,MATCH('ランキングツール（市内行政区）'!K60,市内行政区統計表!$U$7:$U$72,0),2)</f>
        <v>太田</v>
      </c>
      <c r="I60" s="11">
        <f t="shared" ca="1" si="10"/>
        <v>462</v>
      </c>
      <c r="J60" s="31"/>
      <c r="K60" s="33">
        <f ca="1">SMALL(市内行政区統計表!$U$7:$U$72,'ランキングツール（市内行政区）'!G60)</f>
        <v>462.00238002237177</v>
      </c>
    </row>
    <row r="61" spans="2:11" x14ac:dyDescent="0.4">
      <c r="B61" s="9">
        <v>50</v>
      </c>
      <c r="C61" s="10" t="str">
        <f ca="1">INDEX(市内行政区統計表!$A$7:$U$72,MATCH('ランキングツール（市内行政区）'!F61,市内行政区統計表!$U$7:$U$72,0),2)</f>
        <v>古町</v>
      </c>
      <c r="D61" s="11">
        <f t="shared" ca="1" si="9"/>
        <v>146</v>
      </c>
      <c r="E61" s="32"/>
      <c r="F61" s="33">
        <f ca="1">LARGE(市内行政区統計表!$U$7:$U$72,'ランキングツール（市内行政区）'!B61)</f>
        <v>146.00004004452722</v>
      </c>
      <c r="G61" s="9">
        <v>50</v>
      </c>
      <c r="H61" s="10" t="str">
        <f ca="1">INDEX(市内行政区統計表!$A$7:$U$72,MATCH('ランキングツール（市内行政区）'!K61,市内行政区統計表!$U$7:$U$72,0),2)</f>
        <v>吉田二区</v>
      </c>
      <c r="I61" s="11">
        <f t="shared" ca="1" si="10"/>
        <v>543</v>
      </c>
      <c r="J61" s="31"/>
      <c r="K61" s="33">
        <f ca="1">SMALL(市内行政区統計表!$U$7:$U$72,'ランキングツール（市内行政区）'!G61)</f>
        <v>543.0032046253184</v>
      </c>
    </row>
    <row r="62" spans="2:11" x14ac:dyDescent="0.4">
      <c r="B62" s="9">
        <v>51</v>
      </c>
      <c r="C62" s="10" t="str">
        <f ca="1">INDEX(市内行政区統計表!$A$7:$U$72,MATCH('ランキングツール（市内行政区）'!F62,市内行政区統計表!$U$7:$U$72,0),2)</f>
        <v>君石</v>
      </c>
      <c r="D62" s="11">
        <f t="shared" ca="1" si="9"/>
        <v>144</v>
      </c>
      <c r="E62" s="32"/>
      <c r="F62" s="33">
        <f ca="1">LARGE(市内行政区統計表!$U$7:$U$72,'ランキングツール（市内行政区）'!B62)</f>
        <v>144.00057530278644</v>
      </c>
      <c r="G62" s="9">
        <v>51</v>
      </c>
      <c r="H62" s="10" t="str">
        <f ca="1">INDEX(市内行政区統計表!$A$7:$U$72,MATCH('ランキングツール（市内行政区）'!K62,市内行政区統計表!$U$7:$U$72,0),2)</f>
        <v>吉田一区</v>
      </c>
      <c r="I62" s="11">
        <f t="shared" ca="1" si="10"/>
        <v>548</v>
      </c>
      <c r="J62" s="31"/>
      <c r="K62" s="33">
        <f ca="1">SMALL(市内行政区統計表!$U$7:$U$72,'ランキングツール（市内行政区）'!G62)</f>
        <v>548.00455492956837</v>
      </c>
    </row>
    <row r="63" spans="2:11" x14ac:dyDescent="0.4">
      <c r="B63" s="9">
        <v>52</v>
      </c>
      <c r="C63" s="10" t="str">
        <f ca="1">INDEX(市内行政区統計表!$A$7:$U$72,MATCH('ランキングツール（市内行政区）'!F63,市内行政区統計表!$U$7:$U$72,0),2)</f>
        <v>内田原</v>
      </c>
      <c r="D63" s="11">
        <f t="shared" ca="1" si="9"/>
        <v>143</v>
      </c>
      <c r="E63" s="32"/>
      <c r="F63" s="33">
        <f ca="1">LARGE(市内行政区統計表!$U$7:$U$72,'ランキングツール（市内行政区）'!B63)</f>
        <v>143.00052757650317</v>
      </c>
      <c r="G63" s="9">
        <v>52</v>
      </c>
      <c r="H63" s="10" t="str">
        <f ca="1">INDEX(市内行政区統計表!$A$7:$U$72,MATCH('ランキングツール（市内行政区）'!K63,市内行政区統計表!$U$7:$U$72,0),2)</f>
        <v>大門五番町</v>
      </c>
      <c r="I63" s="11">
        <f t="shared" ca="1" si="10"/>
        <v>570</v>
      </c>
      <c r="J63" s="31"/>
      <c r="K63" s="33">
        <f ca="1">SMALL(市内行政区統計表!$U$7:$U$72,'ランキングツール（市内行政区）'!G63)</f>
        <v>570.00139479200971</v>
      </c>
    </row>
    <row r="64" spans="2:11" x14ac:dyDescent="0.4">
      <c r="B64" s="9">
        <v>53</v>
      </c>
      <c r="C64" s="10" t="str">
        <f ca="1">INDEX(市内行政区統計表!$A$7:$U$72,MATCH('ランキングツール（市内行政区）'!F64,市内行政区統計表!$U$7:$U$72,0),2)</f>
        <v>本山</v>
      </c>
      <c r="D64" s="11">
        <f t="shared" ca="1" si="9"/>
        <v>137</v>
      </c>
      <c r="E64" s="32"/>
      <c r="F64" s="33">
        <f ca="1">LARGE(市内行政区統計表!$U$7:$U$72,'ランキングツール（市内行政区）'!B64)</f>
        <v>137.00075239397748</v>
      </c>
      <c r="G64" s="9">
        <v>53</v>
      </c>
      <c r="H64" s="10" t="str">
        <f ca="1">INDEX(市内行政区統計表!$A$7:$U$72,MATCH('ランキングツール（市内行政区）'!K64,市内行政区統計表!$U$7:$U$72,0),2)</f>
        <v>高出五区</v>
      </c>
      <c r="I64" s="11">
        <f t="shared" ca="1" si="10"/>
        <v>702</v>
      </c>
      <c r="J64" s="31"/>
      <c r="K64" s="33">
        <f ca="1">SMALL(市内行政区統計表!$U$7:$U$72,'ランキングツール（市内行政区）'!G64)</f>
        <v>702.00623466716809</v>
      </c>
    </row>
    <row r="65" spans="2:11" x14ac:dyDescent="0.4">
      <c r="B65" s="9">
        <v>54</v>
      </c>
      <c r="C65" s="10" t="str">
        <f ca="1">INDEX(市内行政区統計表!$A$7:$U$72,MATCH('ランキングツール（市内行政区）'!F65,市内行政区統計表!$U$7:$U$72,0),2)</f>
        <v>長畝</v>
      </c>
      <c r="D65" s="11">
        <f t="shared" ca="1" si="9"/>
        <v>137</v>
      </c>
      <c r="E65" s="32"/>
      <c r="F65" s="33">
        <f ca="1">LARGE(市内行政区統計表!$U$7:$U$72,'ランキングツール（市内行政区）'!B65)</f>
        <v>137.00048421374984</v>
      </c>
      <c r="G65" s="9">
        <v>54</v>
      </c>
      <c r="H65" s="10" t="str">
        <f ca="1">INDEX(市内行政区統計表!$A$7:$U$72,MATCH('ランキングツール（市内行政区）'!K65,市内行政区統計表!$U$7:$U$72,0),2)</f>
        <v>桔梗ヶ原</v>
      </c>
      <c r="I65" s="11">
        <f t="shared" ca="1" si="10"/>
        <v>761</v>
      </c>
      <c r="J65" s="31"/>
      <c r="K65" s="33">
        <f ca="1">SMALL(市内行政区統計表!$U$7:$U$72,'ランキングツール（市内行政区）'!G65)</f>
        <v>761.00544446985236</v>
      </c>
    </row>
    <row r="66" spans="2:11" x14ac:dyDescent="0.4">
      <c r="B66" s="9">
        <v>55</v>
      </c>
      <c r="C66" s="10" t="str">
        <f ca="1">INDEX(市内行政区統計表!$A$7:$U$72,MATCH('ランキングツール（市内行政区）'!F66,市内行政区統計表!$U$7:$U$72,0),2)</f>
        <v>みどり湖</v>
      </c>
      <c r="D66" s="11">
        <f t="shared" ca="1" si="9"/>
        <v>136</v>
      </c>
      <c r="E66" s="32"/>
      <c r="F66" s="33">
        <f ca="1">LARGE(市内行政区統計表!$U$7:$U$72,'ランキングツール（市内行政区）'!B66)</f>
        <v>136.00072590669183</v>
      </c>
      <c r="G66" s="9">
        <v>55</v>
      </c>
      <c r="H66" s="10" t="str">
        <f ca="1">INDEX(市内行政区統計表!$A$7:$U$72,MATCH('ランキングツール（市内行政区）'!K66,市内行政区統計表!$U$7:$U$72,0),2)</f>
        <v>高出二区</v>
      </c>
      <c r="I66" s="11">
        <f t="shared" ca="1" si="10"/>
        <v>765</v>
      </c>
      <c r="J66" s="31"/>
      <c r="K66" s="33">
        <f ca="1">SMALL(市内行政区統計表!$U$7:$U$72,'ランキングツール（市内行政区）'!G66)</f>
        <v>765.00390197706247</v>
      </c>
    </row>
    <row r="67" spans="2:11" x14ac:dyDescent="0.4">
      <c r="B67" s="9">
        <v>56</v>
      </c>
      <c r="C67" s="10" t="str">
        <f ca="1">INDEX(市内行政区統計表!$A$7:$U$72,MATCH('ランキングツール（市内行政区）'!F67,市内行政区統計表!$U$7:$U$72,0),2)</f>
        <v>大門一番町</v>
      </c>
      <c r="D67" s="11">
        <f t="shared" ca="1" si="9"/>
        <v>134</v>
      </c>
      <c r="E67" s="32"/>
      <c r="F67" s="33">
        <f ca="1">LARGE(市内行政区統計表!$U$7:$U$72,'ランキングツール（市内行政区）'!B67)</f>
        <v>134.00117905177083</v>
      </c>
      <c r="G67" s="9">
        <v>56</v>
      </c>
      <c r="H67" s="10" t="str">
        <f ca="1">INDEX(市内行政区統計表!$A$7:$U$72,MATCH('ランキングツール（市内行政区）'!K67,市内行政区統計表!$U$7:$U$72,0),2)</f>
        <v>高出四区</v>
      </c>
      <c r="I67" s="11">
        <f t="shared" ca="1" si="10"/>
        <v>771</v>
      </c>
      <c r="J67" s="31"/>
      <c r="K67" s="33">
        <f ca="1">SMALL(市内行政区統計表!$U$7:$U$72,'ランキングツール（市内行政区）'!G67)</f>
        <v>771.00076658813646</v>
      </c>
    </row>
    <row r="68" spans="2:11" x14ac:dyDescent="0.4">
      <c r="B68" s="9">
        <v>57</v>
      </c>
      <c r="C68" s="10" t="str">
        <f ca="1">INDEX(市内行政区統計表!$A$7:$U$72,MATCH('ランキングツール（市内行政区）'!F68,市内行政区統計表!$U$7:$U$72,0),2)</f>
        <v>上小曽部</v>
      </c>
      <c r="D68" s="11">
        <f t="shared" ca="1" si="9"/>
        <v>119</v>
      </c>
      <c r="E68" s="32"/>
      <c r="F68" s="33">
        <f ca="1">LARGE(市内行政区統計表!$U$7:$U$72,'ランキングツール（市内行政区）'!B68)</f>
        <v>119.00009642212702</v>
      </c>
      <c r="G68" s="9">
        <v>57</v>
      </c>
      <c r="H68" s="10" t="str">
        <f ca="1">INDEX(市内行政区統計表!$A$7:$U$72,MATCH('ランキングツール（市内行政区）'!K68,市内行政区統計表!$U$7:$U$72,0),2)</f>
        <v>郷原</v>
      </c>
      <c r="I68" s="11">
        <f t="shared" ca="1" si="10"/>
        <v>801</v>
      </c>
      <c r="J68" s="31"/>
      <c r="K68" s="33">
        <f ca="1">SMALL(市内行政区統計表!$U$7:$U$72,'ランキングツール（市内行政区）'!G68)</f>
        <v>801.00459039325892</v>
      </c>
    </row>
    <row r="69" spans="2:11" x14ac:dyDescent="0.4">
      <c r="B69" s="9">
        <v>58</v>
      </c>
      <c r="C69" s="10" t="str">
        <f ca="1">INDEX(市内行政区統計表!$A$7:$U$72,MATCH('ランキングツール（市内行政区）'!F69,市内行政区統計表!$U$7:$U$72,0),2)</f>
        <v>上田</v>
      </c>
      <c r="D69" s="11">
        <f t="shared" ca="1" si="9"/>
        <v>106</v>
      </c>
      <c r="E69" s="32"/>
      <c r="F69" s="33">
        <f ca="1">LARGE(市内行政区統計表!$U$7:$U$72,'ランキングツール（市内行政区）'!B69)</f>
        <v>106.00029822190633</v>
      </c>
      <c r="G69" s="9">
        <v>58</v>
      </c>
      <c r="H69" s="10" t="str">
        <f ca="1">INDEX(市内行政区統計表!$A$7:$U$72,MATCH('ランキングツール（市内行政区）'!K69,市内行政区統計表!$U$7:$U$72,0),2)</f>
        <v>町区</v>
      </c>
      <c r="I69" s="11">
        <f t="shared" ca="1" si="10"/>
        <v>820</v>
      </c>
      <c r="J69" s="31"/>
      <c r="K69" s="33">
        <f ca="1">SMALL(市内行政区統計表!$U$7:$U$72,'ランキングツール（市内行政区）'!G69)</f>
        <v>820.00431876844902</v>
      </c>
    </row>
    <row r="70" spans="2:11" x14ac:dyDescent="0.4">
      <c r="B70" s="9">
        <v>59</v>
      </c>
      <c r="C70" s="10" t="str">
        <f ca="1">INDEX(市内行政区統計表!$A$7:$U$72,MATCH('ランキングツール（市内行政区）'!F70,市内行政区統計表!$U$7:$U$72,0),2)</f>
        <v>東山</v>
      </c>
      <c r="D70" s="11">
        <f t="shared" ca="1" si="9"/>
        <v>90</v>
      </c>
      <c r="E70" s="32"/>
      <c r="F70" s="33">
        <f ca="1">LARGE(市内行政区統計表!$U$7:$U$72,'ランキングツール（市内行政区）'!B70)</f>
        <v>90.00058476463451</v>
      </c>
      <c r="G70" s="9">
        <v>59</v>
      </c>
      <c r="H70" s="10" t="str">
        <f ca="1">INDEX(市内行政区統計表!$A$7:$U$72,MATCH('ランキングツール（市内行政区）'!K70,市内行政区統計表!$U$7:$U$72,0),2)</f>
        <v>高出三区</v>
      </c>
      <c r="I70" s="11">
        <f t="shared" ca="1" si="10"/>
        <v>929</v>
      </c>
      <c r="J70" s="31"/>
      <c r="K70" s="33">
        <f ca="1">SMALL(市内行政区統計表!$U$7:$U$72,'ランキングツール（市内行政区）'!G70)</f>
        <v>929.00577587701991</v>
      </c>
    </row>
    <row r="71" spans="2:11" x14ac:dyDescent="0.4">
      <c r="B71" s="9">
        <v>60</v>
      </c>
      <c r="C71" s="10" t="str">
        <f ca="1">INDEX(市内行政区統計表!$A$7:$U$72,MATCH('ランキングツール（市内行政区）'!F71,市内行政区統計表!$U$7:$U$72,0),2)</f>
        <v>中西条</v>
      </c>
      <c r="D71" s="11">
        <f t="shared" ca="1" si="9"/>
        <v>84</v>
      </c>
      <c r="E71" s="32"/>
      <c r="F71" s="33">
        <f ca="1">LARGE(市内行政区統計表!$U$7:$U$72,'ランキングツール（市内行政区）'!B71)</f>
        <v>84.000500403571962</v>
      </c>
      <c r="G71" s="9">
        <v>60</v>
      </c>
      <c r="H71" s="10" t="str">
        <f ca="1">INDEX(市内行政区統計表!$A$7:$U$72,MATCH('ランキングツール（市内行政区）'!K71,市内行政区統計表!$U$7:$U$72,0),2)</f>
        <v>吉田三区</v>
      </c>
      <c r="I71" s="11">
        <f t="shared" ca="1" si="10"/>
        <v>951</v>
      </c>
      <c r="J71" s="31"/>
      <c r="K71" s="33">
        <f ca="1">SMALL(市内行政区統計表!$U$7:$U$72,'ランキングツール（市内行政区）'!G71)</f>
        <v>951.00142189248004</v>
      </c>
    </row>
    <row r="72" spans="2:11" x14ac:dyDescent="0.4">
      <c r="B72" s="9">
        <v>61</v>
      </c>
      <c r="C72" s="10" t="str">
        <f ca="1">INDEX(市内行政区統計表!$A$7:$U$72,MATCH('ランキングツール（市内行政区）'!F72,市内行政区統計表!$U$7:$U$72,0),2)</f>
        <v>松原</v>
      </c>
      <c r="D72" s="11">
        <f t="shared" ca="1" si="9"/>
        <v>76</v>
      </c>
      <c r="E72" s="32"/>
      <c r="F72" s="33">
        <f ca="1">LARGE(市内行政区統計表!$U$7:$U$72,'ランキングツール（市内行政区）'!B72)</f>
        <v>76.000632355415931</v>
      </c>
      <c r="G72" s="9">
        <v>61</v>
      </c>
      <c r="H72" s="10" t="str">
        <f ca="1">INDEX(市内行政区統計表!$A$7:$U$72,MATCH('ランキングツール（市内行政区）'!K72,市内行政区統計表!$U$7:$U$72,0),2)</f>
        <v>吉田四区</v>
      </c>
      <c r="I72" s="11">
        <f t="shared" ca="1" si="10"/>
        <v>973</v>
      </c>
      <c r="J72" s="31"/>
      <c r="K72" s="33">
        <f ca="1">SMALL(市内行政区統計表!$U$7:$U$72,'ランキングツール（市内行政区）'!G72)</f>
        <v>973.00395119370341</v>
      </c>
    </row>
    <row r="73" spans="2:11" x14ac:dyDescent="0.4">
      <c r="B73" s="9">
        <v>62</v>
      </c>
      <c r="C73" s="10" t="str">
        <f ca="1">INDEX(市内行政区統計表!$A$7:$U$72,MATCH('ランキングツール（市内行政区）'!F73,市内行政区統計表!$U$7:$U$72,0),2)</f>
        <v>宮前</v>
      </c>
      <c r="D73" s="11">
        <f t="shared" ca="1" si="9"/>
        <v>76</v>
      </c>
      <c r="E73" s="32"/>
      <c r="F73" s="33">
        <f ca="1">LARGE(市内行政区統計表!$U$7:$U$72,'ランキングツール（市内行政区）'!B73)</f>
        <v>76.000028273792779</v>
      </c>
      <c r="G73" s="9">
        <v>62</v>
      </c>
      <c r="H73" s="10" t="str">
        <f ca="1">INDEX(市内行政区統計表!$A$7:$U$72,MATCH('ランキングツール（市内行政区）'!K73,市内行政区統計表!$U$7:$U$72,0),2)</f>
        <v>堅石</v>
      </c>
      <c r="I73" s="11">
        <f t="shared" ca="1" si="10"/>
        <v>997</v>
      </c>
      <c r="J73" s="31"/>
      <c r="K73" s="33">
        <f ca="1">SMALL(市内行政区統計表!$U$7:$U$72,'ランキングツール（市内行政区）'!G73)</f>
        <v>997.00825970693461</v>
      </c>
    </row>
    <row r="74" spans="2:11" x14ac:dyDescent="0.4">
      <c r="B74" s="9">
        <v>63</v>
      </c>
      <c r="C74" s="10" t="str">
        <f ca="1">INDEX(市内行政区統計表!$A$7:$U$72,MATCH('ランキングツール（市内行政区）'!F74,市内行政区統計表!$U$7:$U$72,0),2)</f>
        <v>金井</v>
      </c>
      <c r="D74" s="11">
        <f t="shared" ca="1" si="9"/>
        <v>65</v>
      </c>
      <c r="E74" s="32"/>
      <c r="F74" s="33">
        <f ca="1">LARGE(市内行政区統計表!$U$7:$U$72,'ランキングツール（市内行政区）'!B74)</f>
        <v>65.000119457218304</v>
      </c>
      <c r="G74" s="9">
        <v>63</v>
      </c>
      <c r="H74" s="10" t="str">
        <f ca="1">INDEX(市内行政区統計表!$A$7:$U$72,MATCH('ランキングツール（市内行政区）'!K74,市内行政区統計表!$U$7:$U$72,0),2)</f>
        <v>吉田五区</v>
      </c>
      <c r="I74" s="11">
        <f t="shared" ca="1" si="10"/>
        <v>1147</v>
      </c>
      <c r="J74" s="31"/>
      <c r="K74" s="33">
        <f ca="1">SMALL(市内行政区統計表!$U$7:$U$72,'ランキングツール（市内行政区）'!G74)</f>
        <v>1147.0040625219867</v>
      </c>
    </row>
    <row r="75" spans="2:11" x14ac:dyDescent="0.4">
      <c r="B75" s="9">
        <v>64</v>
      </c>
      <c r="C75" s="10" t="str">
        <f ca="1">INDEX(市内行政区統計表!$A$7:$U$72,MATCH('ランキングツール（市内行政区）'!F75,市内行政区統計表!$U$7:$U$72,0),2)</f>
        <v>小井戸</v>
      </c>
      <c r="D75" s="11">
        <f t="shared" ca="1" si="9"/>
        <v>59</v>
      </c>
      <c r="E75" s="32"/>
      <c r="F75" s="33">
        <f ca="1">LARGE(市内行政区統計表!$U$7:$U$72,'ランキングツール（市内行政区）'!B75)</f>
        <v>59.000353843173109</v>
      </c>
      <c r="G75" s="9">
        <v>64</v>
      </c>
      <c r="H75" s="10" t="str">
        <f ca="1">INDEX(市内行政区統計表!$A$7:$U$72,MATCH('ランキングツール（市内行政区）'!K75,市内行政区統計表!$U$7:$U$72,0),2)</f>
        <v>大門七区</v>
      </c>
      <c r="I75" s="11">
        <f t="shared" ca="1" si="10"/>
        <v>1866</v>
      </c>
      <c r="J75" s="31"/>
      <c r="K75" s="33">
        <f ca="1">SMALL(市内行政区統計表!$U$7:$U$72,'ランキングツール（市内行政区）'!G75)</f>
        <v>1866.0141145824773</v>
      </c>
    </row>
    <row r="76" spans="2:11" x14ac:dyDescent="0.4">
      <c r="B76" s="9">
        <v>65</v>
      </c>
      <c r="C76" s="10" t="str">
        <f ca="1">INDEX(市内行政区統計表!$A$7:$U$72,MATCH('ランキングツール（市内行政区）'!F76,市内行政区統計表!$U$7:$U$72,0),2)</f>
        <v>日出塩</v>
      </c>
      <c r="D76" s="11">
        <f t="shared" ca="1" si="9"/>
        <v>46</v>
      </c>
      <c r="E76" s="32"/>
      <c r="F76" s="33">
        <f ca="1">LARGE(市内行政区統計表!$U$7:$U$72,'ランキングツール（市内行政区）'!B76)</f>
        <v>46.000374696479483</v>
      </c>
      <c r="G76" s="9">
        <v>65</v>
      </c>
      <c r="H76" s="10" t="str">
        <f ca="1">INDEX(市内行政区統計表!$A$7:$U$72,MATCH('ランキングツール（市内行政区）'!K76,市内行政区統計表!$U$7:$U$72,0),2)</f>
        <v>原新田</v>
      </c>
      <c r="I76" s="11">
        <f t="shared" ca="1" si="10"/>
        <v>1958</v>
      </c>
      <c r="J76" s="31"/>
      <c r="K76" s="33">
        <f ca="1">SMALL(市内行政区統計表!$U$7:$U$72,'ランキングツール（市内行政区）'!G76)</f>
        <v>1958.0100182965989</v>
      </c>
    </row>
    <row r="77" spans="2:11" x14ac:dyDescent="0.4">
      <c r="B77" s="9">
        <v>66</v>
      </c>
      <c r="C77" s="10" t="str">
        <f ca="1">INDEX(市内行政区統計表!$A$7:$U$72,MATCH('ランキングツール（市内行政区）'!F77,市内行政区統計表!$U$7:$U$72,0),2)</f>
        <v>中挟</v>
      </c>
      <c r="D77" s="11">
        <f t="shared" ref="D77" ca="1" si="12">IF($B$3="整数",ROUND(F77,0),F77)</f>
        <v>34</v>
      </c>
      <c r="E77" s="32"/>
      <c r="F77" s="33">
        <f ca="1">LARGE(市内行政区統計表!$U$7:$U$72,'ランキングツール（市内行政区）'!B77)</f>
        <v>34.000199874424496</v>
      </c>
      <c r="G77" s="9">
        <v>66</v>
      </c>
      <c r="H77" s="10" t="str">
        <f ca="1">INDEX(市内行政区統計表!$A$7:$U$72,MATCH('ランキングツール（市内行政区）'!K77,市内行政区統計表!$U$7:$U$72,0),2)</f>
        <v>野村</v>
      </c>
      <c r="I77" s="11">
        <f t="shared" ref="I77" ca="1" si="13">IF($B$3="整数",ROUND(K77,0),K77)</f>
        <v>2711</v>
      </c>
      <c r="J77" s="31"/>
      <c r="K77" s="33">
        <f ca="1">SMALL(市内行政区統計表!$U$7:$U$72,'ランキングツール（市内行政区）'!G77)</f>
        <v>2711.0245935322623</v>
      </c>
    </row>
  </sheetData>
  <mergeCells count="2">
    <mergeCell ref="B2:C2"/>
    <mergeCell ref="B8:C8"/>
  </mergeCells>
  <phoneticPr fontId="2"/>
  <conditionalFormatting sqref="D12:D77">
    <cfRule type="expression" dxfId="46" priority="4">
      <formula>INDIRECT(ADDRESS(ROW(),COLUMN()))=TRUNC(INDIRECT(ADDRESS(ROW(),COLUMN())))</formula>
    </cfRule>
  </conditionalFormatting>
  <conditionalFormatting sqref="I12:I77">
    <cfRule type="expression" dxfId="45" priority="3">
      <formula>INDIRECT(ADDRESS(ROW(),COLUMN()))=TRUNC(INDIRECT(ADDRESS(ROW(),COLUMN())))</formula>
    </cfRule>
  </conditionalFormatting>
  <conditionalFormatting sqref="D8">
    <cfRule type="expression" dxfId="44" priority="1">
      <formula>INDIRECT(ADDRESS(ROW(),COLUMN()))=TRUNC(INDIRECT(ADDRESS(ROW(),COLUMN())))</formula>
    </cfRule>
  </conditionalFormatting>
  <dataValidations count="1">
    <dataValidation type="list" allowBlank="1" showInputMessage="1" showErrorMessage="1" sqref="B2:C2">
      <formula1>$E$2:$Q$2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showGridLines="0" zoomScaleNormal="100" zoomScaleSheetLayoutView="85" workbookViewId="0">
      <selection activeCell="A3" sqref="A3"/>
    </sheetView>
  </sheetViews>
  <sheetFormatPr defaultRowHeight="18.75" x14ac:dyDescent="0.4"/>
  <cols>
    <col min="1" max="1" width="7.875" style="1" customWidth="1"/>
    <col min="2" max="2" width="10.375" style="1" customWidth="1"/>
    <col min="3" max="3" width="9.25" style="1" bestFit="1" customWidth="1"/>
    <col min="4" max="6" width="9.5" style="1" bestFit="1" customWidth="1"/>
    <col min="7" max="7" width="9.25" style="1" bestFit="1" customWidth="1"/>
    <col min="8" max="10" width="9.5" style="1" bestFit="1" customWidth="1"/>
    <col min="11" max="15" width="8.25" style="1" customWidth="1"/>
    <col min="16" max="17" width="9" style="1"/>
    <col min="18" max="18" width="14.75" style="1" customWidth="1"/>
    <col min="19" max="21" width="14.75" style="24" customWidth="1"/>
    <col min="22" max="23" width="14.75" style="1" customWidth="1"/>
    <col min="24" max="16384" width="9" style="1"/>
  </cols>
  <sheetData>
    <row r="1" spans="1:21" x14ac:dyDescent="0.4">
      <c r="G1" s="43" t="s">
        <v>215</v>
      </c>
      <c r="H1" s="43" t="s">
        <v>214</v>
      </c>
      <c r="I1" s="43" t="s">
        <v>213</v>
      </c>
      <c r="J1" s="43" t="s">
        <v>212</v>
      </c>
      <c r="K1" s="24" t="s">
        <v>227</v>
      </c>
      <c r="L1" s="24" t="s">
        <v>226</v>
      </c>
      <c r="M1" s="24" t="s">
        <v>225</v>
      </c>
      <c r="N1" s="24" t="s">
        <v>224</v>
      </c>
      <c r="O1" s="24" t="s">
        <v>220</v>
      </c>
      <c r="P1" s="24" t="s">
        <v>221</v>
      </c>
      <c r="Q1" s="24" t="s">
        <v>222</v>
      </c>
      <c r="R1" s="24" t="s">
        <v>223</v>
      </c>
      <c r="S1" s="24" t="s">
        <v>208</v>
      </c>
      <c r="U1" s="24" t="str">
        <f>'ランキングツール（市内行政区）'!B2</f>
        <v>2020年　世帯数</v>
      </c>
    </row>
    <row r="2" spans="1:21" x14ac:dyDescent="0.4">
      <c r="A2" s="1" t="s">
        <v>229</v>
      </c>
      <c r="G2" s="42"/>
      <c r="H2" s="42"/>
      <c r="I2" s="42"/>
      <c r="J2" s="42"/>
      <c r="K2" s="24"/>
      <c r="L2" s="24"/>
      <c r="M2" s="24"/>
      <c r="N2" s="24"/>
      <c r="O2" s="24"/>
      <c r="P2" s="24"/>
      <c r="Q2" s="24"/>
      <c r="R2" s="24"/>
    </row>
    <row r="3" spans="1:21" x14ac:dyDescent="0.4">
      <c r="A3" s="12"/>
      <c r="B3" s="12"/>
      <c r="C3" s="13">
        <v>2015</v>
      </c>
      <c r="D3" s="13">
        <v>2015</v>
      </c>
      <c r="E3" s="13">
        <v>2015</v>
      </c>
      <c r="F3" s="13">
        <v>2015</v>
      </c>
      <c r="G3" s="13">
        <v>2020</v>
      </c>
      <c r="H3" s="13">
        <v>2020</v>
      </c>
      <c r="I3" s="13">
        <v>2020</v>
      </c>
      <c r="J3" s="13">
        <v>2020</v>
      </c>
      <c r="K3" s="14" t="s">
        <v>83</v>
      </c>
      <c r="L3" s="14" t="s">
        <v>199</v>
      </c>
      <c r="M3" s="14" t="s">
        <v>199</v>
      </c>
      <c r="N3" s="14" t="s">
        <v>199</v>
      </c>
      <c r="O3" s="14" t="s">
        <v>3</v>
      </c>
      <c r="P3" s="14" t="s">
        <v>200</v>
      </c>
      <c r="Q3" s="14" t="s">
        <v>200</v>
      </c>
      <c r="R3" s="14" t="s">
        <v>200</v>
      </c>
      <c r="U3" s="24" t="s">
        <v>84</v>
      </c>
    </row>
    <row r="4" spans="1:21" x14ac:dyDescent="0.4">
      <c r="A4" s="15" t="s">
        <v>196</v>
      </c>
      <c r="B4" s="15" t="s">
        <v>181</v>
      </c>
      <c r="C4" s="15" t="s">
        <v>81</v>
      </c>
      <c r="D4" s="15" t="s">
        <v>0</v>
      </c>
      <c r="E4" s="15" t="s">
        <v>1</v>
      </c>
      <c r="F4" s="15" t="s">
        <v>2</v>
      </c>
      <c r="G4" s="15" t="s">
        <v>81</v>
      </c>
      <c r="H4" s="15" t="s">
        <v>0</v>
      </c>
      <c r="I4" s="15" t="s">
        <v>1</v>
      </c>
      <c r="J4" s="15" t="s">
        <v>2</v>
      </c>
      <c r="K4" s="16" t="s">
        <v>201</v>
      </c>
      <c r="L4" s="16" t="s">
        <v>0</v>
      </c>
      <c r="M4" s="16" t="s">
        <v>1</v>
      </c>
      <c r="N4" s="16" t="s">
        <v>2</v>
      </c>
      <c r="O4" s="16" t="s">
        <v>201</v>
      </c>
      <c r="P4" s="16" t="s">
        <v>0</v>
      </c>
      <c r="Q4" s="16" t="s">
        <v>1</v>
      </c>
      <c r="R4" s="16" t="s">
        <v>2</v>
      </c>
      <c r="U4" s="24" t="s">
        <v>84</v>
      </c>
    </row>
    <row r="5" spans="1:21" hidden="1" x14ac:dyDescent="0.4">
      <c r="A5" s="17" t="s">
        <v>99</v>
      </c>
      <c r="B5" s="17" t="s">
        <v>180</v>
      </c>
      <c r="C5" s="18" t="s">
        <v>100</v>
      </c>
      <c r="D5" s="18" t="s">
        <v>101</v>
      </c>
      <c r="E5" s="18" t="s">
        <v>102</v>
      </c>
      <c r="F5" s="18" t="s">
        <v>103</v>
      </c>
      <c r="G5" s="19" t="s">
        <v>104</v>
      </c>
      <c r="H5" s="19" t="s">
        <v>105</v>
      </c>
      <c r="I5" s="19" t="s">
        <v>106</v>
      </c>
      <c r="J5" s="19" t="s">
        <v>107</v>
      </c>
      <c r="K5" s="20" t="s">
        <v>108</v>
      </c>
      <c r="L5" s="20" t="s">
        <v>109</v>
      </c>
      <c r="M5" s="20" t="s">
        <v>110</v>
      </c>
      <c r="N5" s="20" t="s">
        <v>111</v>
      </c>
      <c r="O5" s="21" t="s">
        <v>112</v>
      </c>
      <c r="P5" s="21" t="s">
        <v>113</v>
      </c>
      <c r="Q5" s="21" t="s">
        <v>114</v>
      </c>
      <c r="R5" s="21" t="s">
        <v>115</v>
      </c>
      <c r="U5" s="53">
        <f t="shared" ref="U5" ca="1" si="0">SUMIFS(K6:R6,$K$1:$R$1,$U$1)*(1+RAND()/100000)</f>
        <v>0</v>
      </c>
    </row>
    <row r="6" spans="1:21" ht="17.25" customHeight="1" x14ac:dyDescent="0.4">
      <c r="A6" s="17" t="s">
        <v>179</v>
      </c>
      <c r="B6" s="17" t="s">
        <v>179</v>
      </c>
      <c r="C6" s="18">
        <v>26350</v>
      </c>
      <c r="D6" s="18">
        <v>67135</v>
      </c>
      <c r="E6" s="18">
        <v>33347</v>
      </c>
      <c r="F6" s="18">
        <v>33788</v>
      </c>
      <c r="G6" s="25">
        <f>SUM(G7:G72)</f>
        <v>27997</v>
      </c>
      <c r="H6" s="25">
        <f t="shared" ref="H6:J6" si="1">SUM(H7:H72)</f>
        <v>67241</v>
      </c>
      <c r="I6" s="25">
        <f t="shared" si="1"/>
        <v>33620</v>
      </c>
      <c r="J6" s="25">
        <f t="shared" si="1"/>
        <v>33621</v>
      </c>
      <c r="K6" s="20">
        <f>テーブル13[[#This Row],[列6]]-テーブル13[[#This Row],[列2]]</f>
        <v>1647</v>
      </c>
      <c r="L6" s="20">
        <f>テーブル13[[#This Row],[列7]]-テーブル13[[#This Row],[列3]]</f>
        <v>106</v>
      </c>
      <c r="M6" s="20">
        <f>テーブル13[[#This Row],[列8]]-テーブル13[[#This Row],[列4]]</f>
        <v>273</v>
      </c>
      <c r="N6" s="20">
        <f>テーブル13[[#This Row],[列9]]-テーブル13[[#This Row],[列5]]</f>
        <v>-167</v>
      </c>
      <c r="O6" s="21">
        <f>テーブル13[[#This Row],[列10]]/テーブル13[[#This Row],[列6]]*100</f>
        <v>5.8827731542665287</v>
      </c>
      <c r="P6" s="21">
        <f>テーブル13[[#This Row],[列11]]/テーブル13[[#This Row],[列7]]*100</f>
        <v>0.15764191490310969</v>
      </c>
      <c r="Q6" s="21">
        <f>テーブル13[[#This Row],[列12]]/テーブル13[[#This Row],[列8]]*100</f>
        <v>0.81201665675193335</v>
      </c>
      <c r="R6" s="21">
        <f>テーブル13[[#This Row],[列13]]/テーブル13[[#This Row],[列9]]*100</f>
        <v>-0.49671336367151481</v>
      </c>
      <c r="S6" s="24">
        <f>テーブル13[[#This Row],[列7]]/テーブル13[[#This Row],[列6]]</f>
        <v>2.4017216130299675</v>
      </c>
      <c r="U6" s="54">
        <f ca="1">SUMIFS(G6:S6,$G$1:$S$1,$U$1)*(1+RAND()/100000000)</f>
        <v>27997.000008420859</v>
      </c>
    </row>
    <row r="7" spans="1:21" ht="17.25" customHeight="1" x14ac:dyDescent="0.4">
      <c r="A7" s="17" t="s">
        <v>182</v>
      </c>
      <c r="B7" s="17" t="s">
        <v>133</v>
      </c>
      <c r="C7" s="18">
        <v>108</v>
      </c>
      <c r="D7" s="18">
        <v>260</v>
      </c>
      <c r="E7" s="18">
        <v>125</v>
      </c>
      <c r="F7" s="18">
        <v>135</v>
      </c>
      <c r="G7" s="25">
        <v>134</v>
      </c>
      <c r="H7" s="25">
        <v>288</v>
      </c>
      <c r="I7" s="25">
        <v>141</v>
      </c>
      <c r="J7" s="25">
        <v>147</v>
      </c>
      <c r="K7" s="20">
        <f>テーブル13[[#This Row],[列6]]-テーブル13[[#This Row],[列2]]</f>
        <v>26</v>
      </c>
      <c r="L7" s="20">
        <f>テーブル13[[#This Row],[列7]]-テーブル13[[#This Row],[列3]]</f>
        <v>28</v>
      </c>
      <c r="M7" s="20">
        <f>テーブル13[[#This Row],[列8]]-テーブル13[[#This Row],[列4]]</f>
        <v>16</v>
      </c>
      <c r="N7" s="20">
        <f>テーブル13[[#This Row],[列9]]-テーブル13[[#This Row],[列5]]</f>
        <v>12</v>
      </c>
      <c r="O7" s="21">
        <f>テーブル13[[#This Row],[列10]]/テーブル13[[#This Row],[列6]]*100</f>
        <v>19.402985074626866</v>
      </c>
      <c r="P7" s="21">
        <f>テーブル13[[#This Row],[列11]]/テーブル13[[#This Row],[列7]]*100</f>
        <v>9.7222222222222232</v>
      </c>
      <c r="Q7" s="21">
        <f>テーブル13[[#This Row],[列12]]/テーブル13[[#This Row],[列8]]*100</f>
        <v>11.347517730496454</v>
      </c>
      <c r="R7" s="21">
        <f>テーブル13[[#This Row],[列13]]/テーブル13[[#This Row],[列9]]*100</f>
        <v>8.1632653061224492</v>
      </c>
      <c r="S7" s="24">
        <f>テーブル13[[#This Row],[列7]]/テーブル13[[#This Row],[列6]]</f>
        <v>2.1492537313432836</v>
      </c>
      <c r="U7" s="54">
        <f ca="1">SUMIFS(G7:S7,$G$1:$S$1,$U$1)*(1+RAND()/100000)</f>
        <v>134.00117905177083</v>
      </c>
    </row>
    <row r="8" spans="1:21" ht="17.25" customHeight="1" x14ac:dyDescent="0.4">
      <c r="A8" s="17" t="s">
        <v>182</v>
      </c>
      <c r="B8" s="17" t="s">
        <v>140</v>
      </c>
      <c r="C8" s="18">
        <v>285</v>
      </c>
      <c r="D8" s="18">
        <v>731</v>
      </c>
      <c r="E8" s="18">
        <v>349</v>
      </c>
      <c r="F8" s="18">
        <v>382</v>
      </c>
      <c r="G8" s="25">
        <v>301</v>
      </c>
      <c r="H8" s="25">
        <v>731</v>
      </c>
      <c r="I8" s="25">
        <v>364</v>
      </c>
      <c r="J8" s="25">
        <v>367</v>
      </c>
      <c r="K8" s="20">
        <f>テーブル13[[#This Row],[列6]]-テーブル13[[#This Row],[列2]]</f>
        <v>16</v>
      </c>
      <c r="L8" s="20">
        <f>テーブル13[[#This Row],[列7]]-テーブル13[[#This Row],[列3]]</f>
        <v>0</v>
      </c>
      <c r="M8" s="20">
        <f>テーブル13[[#This Row],[列8]]-テーブル13[[#This Row],[列4]]</f>
        <v>15</v>
      </c>
      <c r="N8" s="20">
        <f>テーブル13[[#This Row],[列9]]-テーブル13[[#This Row],[列5]]</f>
        <v>-15</v>
      </c>
      <c r="O8" s="21">
        <f>テーブル13[[#This Row],[列10]]/テーブル13[[#This Row],[列6]]*100</f>
        <v>5.3156146179401995</v>
      </c>
      <c r="P8" s="21">
        <f>テーブル13[[#This Row],[列11]]/テーブル13[[#This Row],[列7]]*100</f>
        <v>0</v>
      </c>
      <c r="Q8" s="21">
        <f>テーブル13[[#This Row],[列12]]/テーブル13[[#This Row],[列8]]*100</f>
        <v>4.1208791208791204</v>
      </c>
      <c r="R8" s="21">
        <f>テーブル13[[#This Row],[列13]]/テーブル13[[#This Row],[列9]]*100</f>
        <v>-4.0871934604904636</v>
      </c>
      <c r="S8" s="24">
        <f>テーブル13[[#This Row],[列7]]/テーブル13[[#This Row],[列6]]</f>
        <v>2.4285714285714284</v>
      </c>
      <c r="U8" s="54">
        <f t="shared" ref="U8:U70" ca="1" si="2">SUMIFS(G8:S8,$G$1:$S$1,$U$1)*(1+RAND()/100000)</f>
        <v>301.00142199857032</v>
      </c>
    </row>
    <row r="9" spans="1:21" ht="17.25" customHeight="1" x14ac:dyDescent="0.4">
      <c r="A9" s="17" t="s">
        <v>182</v>
      </c>
      <c r="B9" s="17" t="s">
        <v>152</v>
      </c>
      <c r="C9" s="18">
        <v>329</v>
      </c>
      <c r="D9" s="18">
        <v>881</v>
      </c>
      <c r="E9" s="18">
        <v>440</v>
      </c>
      <c r="F9" s="18">
        <v>441</v>
      </c>
      <c r="G9" s="25">
        <v>359</v>
      </c>
      <c r="H9" s="25">
        <v>882</v>
      </c>
      <c r="I9" s="25">
        <v>446</v>
      </c>
      <c r="J9" s="25">
        <v>436</v>
      </c>
      <c r="K9" s="20">
        <f>テーブル13[[#This Row],[列6]]-テーブル13[[#This Row],[列2]]</f>
        <v>30</v>
      </c>
      <c r="L9" s="20">
        <f>テーブル13[[#This Row],[列7]]-テーブル13[[#This Row],[列3]]</f>
        <v>1</v>
      </c>
      <c r="M9" s="20">
        <f>テーブル13[[#This Row],[列8]]-テーブル13[[#This Row],[列4]]</f>
        <v>6</v>
      </c>
      <c r="N9" s="20">
        <f>テーブル13[[#This Row],[列9]]-テーブル13[[#This Row],[列5]]</f>
        <v>-5</v>
      </c>
      <c r="O9" s="21">
        <f>テーブル13[[#This Row],[列10]]/テーブル13[[#This Row],[列6]]*100</f>
        <v>8.3565459610027855</v>
      </c>
      <c r="P9" s="21">
        <f>テーブル13[[#This Row],[列11]]/テーブル13[[#This Row],[列7]]*100</f>
        <v>0.11337868480725624</v>
      </c>
      <c r="Q9" s="21">
        <f>テーブル13[[#This Row],[列12]]/テーブル13[[#This Row],[列8]]*100</f>
        <v>1.3452914798206279</v>
      </c>
      <c r="R9" s="21">
        <f>テーブル13[[#This Row],[列13]]/テーブル13[[#This Row],[列9]]*100</f>
        <v>-1.1467889908256881</v>
      </c>
      <c r="S9" s="24">
        <f>テーブル13[[#This Row],[列7]]/テーブル13[[#This Row],[列6]]</f>
        <v>2.4568245125348191</v>
      </c>
      <c r="U9" s="54">
        <f t="shared" ca="1" si="2"/>
        <v>359.00112787061926</v>
      </c>
    </row>
    <row r="10" spans="1:21" ht="17.25" customHeight="1" x14ac:dyDescent="0.4">
      <c r="A10" s="17" t="s">
        <v>182</v>
      </c>
      <c r="B10" s="17" t="s">
        <v>150</v>
      </c>
      <c r="C10" s="18">
        <v>186</v>
      </c>
      <c r="D10" s="18">
        <v>483</v>
      </c>
      <c r="E10" s="18">
        <v>220</v>
      </c>
      <c r="F10" s="18">
        <v>263</v>
      </c>
      <c r="G10" s="25">
        <v>181</v>
      </c>
      <c r="H10" s="25">
        <v>449</v>
      </c>
      <c r="I10" s="25">
        <v>207</v>
      </c>
      <c r="J10" s="25">
        <v>242</v>
      </c>
      <c r="K10" s="20">
        <f>テーブル13[[#This Row],[列6]]-テーブル13[[#This Row],[列2]]</f>
        <v>-5</v>
      </c>
      <c r="L10" s="20">
        <f>テーブル13[[#This Row],[列7]]-テーブル13[[#This Row],[列3]]</f>
        <v>-34</v>
      </c>
      <c r="M10" s="20">
        <f>テーブル13[[#This Row],[列8]]-テーブル13[[#This Row],[列4]]</f>
        <v>-13</v>
      </c>
      <c r="N10" s="20">
        <f>テーブル13[[#This Row],[列9]]-テーブル13[[#This Row],[列5]]</f>
        <v>-21</v>
      </c>
      <c r="O10" s="21">
        <f>テーブル13[[#This Row],[列10]]/テーブル13[[#This Row],[列6]]*100</f>
        <v>-2.7624309392265194</v>
      </c>
      <c r="P10" s="21">
        <f>テーブル13[[#This Row],[列11]]/テーブル13[[#This Row],[列7]]*100</f>
        <v>-7.5723830734966597</v>
      </c>
      <c r="Q10" s="21">
        <f>テーブル13[[#This Row],[列12]]/テーブル13[[#This Row],[列8]]*100</f>
        <v>-6.2801932367149762</v>
      </c>
      <c r="R10" s="21">
        <f>テーブル13[[#This Row],[列13]]/テーブル13[[#This Row],[列9]]*100</f>
        <v>-8.677685950413224</v>
      </c>
      <c r="S10" s="24">
        <f>テーブル13[[#This Row],[列7]]/テーブル13[[#This Row],[列6]]</f>
        <v>2.4806629834254146</v>
      </c>
      <c r="U10" s="54">
        <f t="shared" ca="1" si="2"/>
        <v>181.00032593222952</v>
      </c>
    </row>
    <row r="11" spans="1:21" ht="17.25" customHeight="1" x14ac:dyDescent="0.4">
      <c r="A11" s="17" t="s">
        <v>182</v>
      </c>
      <c r="B11" s="17" t="s">
        <v>160</v>
      </c>
      <c r="C11" s="18">
        <v>531</v>
      </c>
      <c r="D11" s="18">
        <v>1362</v>
      </c>
      <c r="E11" s="18">
        <v>677</v>
      </c>
      <c r="F11" s="18">
        <v>685</v>
      </c>
      <c r="G11" s="25">
        <v>570</v>
      </c>
      <c r="H11" s="25">
        <v>1327</v>
      </c>
      <c r="I11" s="25">
        <v>667</v>
      </c>
      <c r="J11" s="25">
        <v>660</v>
      </c>
      <c r="K11" s="20">
        <f>テーブル13[[#This Row],[列6]]-テーブル13[[#This Row],[列2]]</f>
        <v>39</v>
      </c>
      <c r="L11" s="20">
        <f>テーブル13[[#This Row],[列7]]-テーブル13[[#This Row],[列3]]</f>
        <v>-35</v>
      </c>
      <c r="M11" s="20">
        <f>テーブル13[[#This Row],[列8]]-テーブル13[[#This Row],[列4]]</f>
        <v>-10</v>
      </c>
      <c r="N11" s="20">
        <f>テーブル13[[#This Row],[列9]]-テーブル13[[#This Row],[列5]]</f>
        <v>-25</v>
      </c>
      <c r="O11" s="21">
        <f>テーブル13[[#This Row],[列10]]/テーブル13[[#This Row],[列6]]*100</f>
        <v>6.8421052631578956</v>
      </c>
      <c r="P11" s="21">
        <f>テーブル13[[#This Row],[列11]]/テーブル13[[#This Row],[列7]]*100</f>
        <v>-2.6375282592313489</v>
      </c>
      <c r="Q11" s="21">
        <f>テーブル13[[#This Row],[列12]]/テーブル13[[#This Row],[列8]]*100</f>
        <v>-1.4992503748125936</v>
      </c>
      <c r="R11" s="21">
        <f>テーブル13[[#This Row],[列13]]/テーブル13[[#This Row],[列9]]*100</f>
        <v>-3.7878787878787881</v>
      </c>
      <c r="S11" s="24">
        <f>テーブル13[[#This Row],[列7]]/テーブル13[[#This Row],[列6]]</f>
        <v>2.3280701754385964</v>
      </c>
      <c r="U11" s="54">
        <f t="shared" ca="1" si="2"/>
        <v>570.00139479200971</v>
      </c>
    </row>
    <row r="12" spans="1:21" ht="17.25" customHeight="1" x14ac:dyDescent="0.4">
      <c r="A12" s="17" t="s">
        <v>182</v>
      </c>
      <c r="B12" s="17" t="s">
        <v>131</v>
      </c>
      <c r="C12" s="18">
        <v>359</v>
      </c>
      <c r="D12" s="18">
        <v>899</v>
      </c>
      <c r="E12" s="18">
        <v>416</v>
      </c>
      <c r="F12" s="18">
        <v>483</v>
      </c>
      <c r="G12" s="25">
        <v>389</v>
      </c>
      <c r="H12" s="25">
        <v>932</v>
      </c>
      <c r="I12" s="25">
        <v>430</v>
      </c>
      <c r="J12" s="25">
        <v>502</v>
      </c>
      <c r="K12" s="20">
        <f>テーブル13[[#This Row],[列6]]-テーブル13[[#This Row],[列2]]</f>
        <v>30</v>
      </c>
      <c r="L12" s="20">
        <f>テーブル13[[#This Row],[列7]]-テーブル13[[#This Row],[列3]]</f>
        <v>33</v>
      </c>
      <c r="M12" s="20">
        <f>テーブル13[[#This Row],[列8]]-テーブル13[[#This Row],[列4]]</f>
        <v>14</v>
      </c>
      <c r="N12" s="20">
        <f>テーブル13[[#This Row],[列9]]-テーブル13[[#This Row],[列5]]</f>
        <v>19</v>
      </c>
      <c r="O12" s="21">
        <f>テーブル13[[#This Row],[列10]]/テーブル13[[#This Row],[列6]]*100</f>
        <v>7.7120822622107967</v>
      </c>
      <c r="P12" s="21">
        <f>テーブル13[[#This Row],[列11]]/テーブル13[[#This Row],[列7]]*100</f>
        <v>3.5407725321888415</v>
      </c>
      <c r="Q12" s="21">
        <f>テーブル13[[#This Row],[列12]]/テーブル13[[#This Row],[列8]]*100</f>
        <v>3.2558139534883721</v>
      </c>
      <c r="R12" s="21">
        <f>テーブル13[[#This Row],[列13]]/テーブル13[[#This Row],[列9]]*100</f>
        <v>3.7848605577689245</v>
      </c>
      <c r="S12" s="24">
        <f>テーブル13[[#This Row],[列7]]/テーブル13[[#This Row],[列6]]</f>
        <v>2.3958868894601544</v>
      </c>
      <c r="U12" s="54">
        <f t="shared" ca="1" si="2"/>
        <v>389.00220593615404</v>
      </c>
    </row>
    <row r="13" spans="1:21" ht="17.25" customHeight="1" x14ac:dyDescent="0.4">
      <c r="A13" s="17" t="s">
        <v>182</v>
      </c>
      <c r="B13" s="17" t="s">
        <v>127</v>
      </c>
      <c r="C13" s="18">
        <v>196</v>
      </c>
      <c r="D13" s="18">
        <v>453</v>
      </c>
      <c r="E13" s="18">
        <v>225</v>
      </c>
      <c r="F13" s="18">
        <v>228</v>
      </c>
      <c r="G13" s="25">
        <v>285</v>
      </c>
      <c r="H13" s="25">
        <v>530</v>
      </c>
      <c r="I13" s="25">
        <v>252</v>
      </c>
      <c r="J13" s="25">
        <v>278</v>
      </c>
      <c r="K13" s="20">
        <f>テーブル13[[#This Row],[列6]]-テーブル13[[#This Row],[列2]]</f>
        <v>89</v>
      </c>
      <c r="L13" s="20">
        <f>テーブル13[[#This Row],[列7]]-テーブル13[[#This Row],[列3]]</f>
        <v>77</v>
      </c>
      <c r="M13" s="20">
        <f>テーブル13[[#This Row],[列8]]-テーブル13[[#This Row],[列4]]</f>
        <v>27</v>
      </c>
      <c r="N13" s="20">
        <f>テーブル13[[#This Row],[列9]]-テーブル13[[#This Row],[列5]]</f>
        <v>50</v>
      </c>
      <c r="O13" s="21">
        <f>テーブル13[[#This Row],[列10]]/テーブル13[[#This Row],[列6]]*100</f>
        <v>31.228070175438599</v>
      </c>
      <c r="P13" s="21">
        <f>テーブル13[[#This Row],[列11]]/テーブル13[[#This Row],[列7]]*100</f>
        <v>14.528301886792452</v>
      </c>
      <c r="Q13" s="21">
        <f>テーブル13[[#This Row],[列12]]/テーブル13[[#This Row],[列8]]*100</f>
        <v>10.714285714285714</v>
      </c>
      <c r="R13" s="21">
        <f>テーブル13[[#This Row],[列13]]/テーブル13[[#This Row],[列9]]*100</f>
        <v>17.985611510791365</v>
      </c>
      <c r="S13" s="24">
        <f>テーブル13[[#This Row],[列7]]/テーブル13[[#This Row],[列6]]</f>
        <v>1.8596491228070176</v>
      </c>
      <c r="U13" s="54">
        <f t="shared" ca="1" si="2"/>
        <v>285.00163744524082</v>
      </c>
    </row>
    <row r="14" spans="1:21" ht="17.25" customHeight="1" x14ac:dyDescent="0.4">
      <c r="A14" s="17" t="s">
        <v>182</v>
      </c>
      <c r="B14" s="17" t="s">
        <v>141</v>
      </c>
      <c r="C14" s="18">
        <v>145</v>
      </c>
      <c r="D14" s="18">
        <v>505</v>
      </c>
      <c r="E14" s="18">
        <v>200</v>
      </c>
      <c r="F14" s="18">
        <v>305</v>
      </c>
      <c r="G14" s="25">
        <v>155</v>
      </c>
      <c r="H14" s="25">
        <v>503</v>
      </c>
      <c r="I14" s="25">
        <v>203</v>
      </c>
      <c r="J14" s="25">
        <v>300</v>
      </c>
      <c r="K14" s="20">
        <f>テーブル13[[#This Row],[列6]]-テーブル13[[#This Row],[列2]]</f>
        <v>10</v>
      </c>
      <c r="L14" s="20">
        <f>テーブル13[[#This Row],[列7]]-テーブル13[[#This Row],[列3]]</f>
        <v>-2</v>
      </c>
      <c r="M14" s="20">
        <f>テーブル13[[#This Row],[列8]]-テーブル13[[#This Row],[列4]]</f>
        <v>3</v>
      </c>
      <c r="N14" s="20">
        <f>テーブル13[[#This Row],[列9]]-テーブル13[[#This Row],[列5]]</f>
        <v>-5</v>
      </c>
      <c r="O14" s="21">
        <f>テーブル13[[#This Row],[列10]]/テーブル13[[#This Row],[列6]]*100</f>
        <v>6.4516129032258061</v>
      </c>
      <c r="P14" s="21">
        <f>テーブル13[[#This Row],[列11]]/テーブル13[[#This Row],[列7]]*100</f>
        <v>-0.39761431411530812</v>
      </c>
      <c r="Q14" s="21">
        <f>テーブル13[[#This Row],[列12]]/テーブル13[[#This Row],[列8]]*100</f>
        <v>1.4778325123152709</v>
      </c>
      <c r="R14" s="21">
        <f>テーブル13[[#This Row],[列13]]/テーブル13[[#This Row],[列9]]*100</f>
        <v>-1.6666666666666667</v>
      </c>
      <c r="S14" s="24">
        <f>テーブル13[[#This Row],[列7]]/テーブル13[[#This Row],[列6]]</f>
        <v>3.2451612903225806</v>
      </c>
      <c r="U14" s="54">
        <f t="shared" ca="1" si="2"/>
        <v>155.0004033837223</v>
      </c>
    </row>
    <row r="15" spans="1:21" ht="17.25" customHeight="1" x14ac:dyDescent="0.4">
      <c r="A15" s="17" t="s">
        <v>182</v>
      </c>
      <c r="B15" s="17" t="s">
        <v>117</v>
      </c>
      <c r="C15" s="18">
        <v>1658</v>
      </c>
      <c r="D15" s="18">
        <v>3668</v>
      </c>
      <c r="E15" s="18">
        <v>1848</v>
      </c>
      <c r="F15" s="18">
        <v>1820</v>
      </c>
      <c r="G15" s="25">
        <v>1866</v>
      </c>
      <c r="H15" s="25">
        <v>3958</v>
      </c>
      <c r="I15" s="25">
        <v>2051</v>
      </c>
      <c r="J15" s="25">
        <v>1907</v>
      </c>
      <c r="K15" s="20">
        <f>テーブル13[[#This Row],[列6]]-テーブル13[[#This Row],[列2]]</f>
        <v>208</v>
      </c>
      <c r="L15" s="20">
        <f>テーブル13[[#This Row],[列7]]-テーブル13[[#This Row],[列3]]</f>
        <v>290</v>
      </c>
      <c r="M15" s="20">
        <f>テーブル13[[#This Row],[列8]]-テーブル13[[#This Row],[列4]]</f>
        <v>203</v>
      </c>
      <c r="N15" s="20">
        <f>テーブル13[[#This Row],[列9]]-テーブル13[[#This Row],[列5]]</f>
        <v>87</v>
      </c>
      <c r="O15" s="21">
        <f>テーブル13[[#This Row],[列10]]/テーブル13[[#This Row],[列6]]*100</f>
        <v>11.14683815648446</v>
      </c>
      <c r="P15" s="21">
        <f>テーブル13[[#This Row],[列11]]/テーブル13[[#This Row],[列7]]*100</f>
        <v>7.3269327943405766</v>
      </c>
      <c r="Q15" s="21">
        <f>テーブル13[[#This Row],[列12]]/テーブル13[[#This Row],[列8]]*100</f>
        <v>9.8976109215017072</v>
      </c>
      <c r="R15" s="21">
        <f>テーブル13[[#This Row],[列13]]/テーブル13[[#This Row],[列9]]*100</f>
        <v>4.5621394861038276</v>
      </c>
      <c r="S15" s="24">
        <f>テーブル13[[#This Row],[列7]]/テーブル13[[#This Row],[列6]]</f>
        <v>2.1211146838156485</v>
      </c>
      <c r="U15" s="54">
        <f t="shared" ca="1" si="2"/>
        <v>1866.0141145824773</v>
      </c>
    </row>
    <row r="16" spans="1:21" ht="17.25" customHeight="1" x14ac:dyDescent="0.4">
      <c r="A16" s="17" t="s">
        <v>182</v>
      </c>
      <c r="B16" s="17" t="s">
        <v>183</v>
      </c>
      <c r="C16" s="18">
        <v>197</v>
      </c>
      <c r="D16" s="18">
        <v>506</v>
      </c>
      <c r="E16" s="18">
        <v>243</v>
      </c>
      <c r="F16" s="18">
        <v>263</v>
      </c>
      <c r="G16" s="25">
        <v>201</v>
      </c>
      <c r="H16" s="25">
        <v>508</v>
      </c>
      <c r="I16" s="25">
        <v>248</v>
      </c>
      <c r="J16" s="25">
        <v>260</v>
      </c>
      <c r="K16" s="20">
        <f>テーブル13[[#This Row],[列6]]-テーブル13[[#This Row],[列2]]</f>
        <v>4</v>
      </c>
      <c r="L16" s="20">
        <f>テーブル13[[#This Row],[列7]]-テーブル13[[#This Row],[列3]]</f>
        <v>2</v>
      </c>
      <c r="M16" s="20">
        <f>テーブル13[[#This Row],[列8]]-テーブル13[[#This Row],[列4]]</f>
        <v>5</v>
      </c>
      <c r="N16" s="20">
        <f>テーブル13[[#This Row],[列9]]-テーブル13[[#This Row],[列5]]</f>
        <v>-3</v>
      </c>
      <c r="O16" s="21">
        <f>テーブル13[[#This Row],[列10]]/テーブル13[[#This Row],[列6]]*100</f>
        <v>1.9900497512437811</v>
      </c>
      <c r="P16" s="21">
        <f>テーブル13[[#This Row],[列11]]/テーブル13[[#This Row],[列7]]*100</f>
        <v>0.39370078740157477</v>
      </c>
      <c r="Q16" s="21">
        <f>テーブル13[[#This Row],[列12]]/テーブル13[[#This Row],[列8]]*100</f>
        <v>2.0161290322580645</v>
      </c>
      <c r="R16" s="21">
        <f>テーブル13[[#This Row],[列13]]/テーブル13[[#This Row],[列9]]*100</f>
        <v>-1.153846153846154</v>
      </c>
      <c r="S16" s="24">
        <f>テーブル13[[#This Row],[列7]]/テーブル13[[#This Row],[列6]]</f>
        <v>2.527363184079602</v>
      </c>
      <c r="U16" s="54">
        <f t="shared" ca="1" si="2"/>
        <v>201.00080161805334</v>
      </c>
    </row>
    <row r="17" spans="1:21" ht="17.25" customHeight="1" x14ac:dyDescent="0.4">
      <c r="A17" s="17" t="s">
        <v>184</v>
      </c>
      <c r="B17" s="17" t="s">
        <v>185</v>
      </c>
      <c r="C17" s="18">
        <v>86</v>
      </c>
      <c r="D17" s="18">
        <v>251</v>
      </c>
      <c r="E17" s="18">
        <v>118</v>
      </c>
      <c r="F17" s="18">
        <v>133</v>
      </c>
      <c r="G17" s="25">
        <v>90</v>
      </c>
      <c r="H17" s="25">
        <v>246</v>
      </c>
      <c r="I17" s="25">
        <v>122</v>
      </c>
      <c r="J17" s="25">
        <v>124</v>
      </c>
      <c r="K17" s="20">
        <f>テーブル13[[#This Row],[列6]]-テーブル13[[#This Row],[列2]]</f>
        <v>4</v>
      </c>
      <c r="L17" s="20">
        <f>テーブル13[[#This Row],[列7]]-テーブル13[[#This Row],[列3]]</f>
        <v>-5</v>
      </c>
      <c r="M17" s="20">
        <f>テーブル13[[#This Row],[列8]]-テーブル13[[#This Row],[列4]]</f>
        <v>4</v>
      </c>
      <c r="N17" s="20">
        <f>テーブル13[[#This Row],[列9]]-テーブル13[[#This Row],[列5]]</f>
        <v>-9</v>
      </c>
      <c r="O17" s="21">
        <f>テーブル13[[#This Row],[列10]]/テーブル13[[#This Row],[列6]]*100</f>
        <v>4.4444444444444446</v>
      </c>
      <c r="P17" s="21">
        <f>テーブル13[[#This Row],[列11]]/テーブル13[[#This Row],[列7]]*100</f>
        <v>-2.0325203252032518</v>
      </c>
      <c r="Q17" s="21">
        <f>テーブル13[[#This Row],[列12]]/テーブル13[[#This Row],[列8]]*100</f>
        <v>3.278688524590164</v>
      </c>
      <c r="R17" s="21">
        <f>テーブル13[[#This Row],[列13]]/テーブル13[[#This Row],[列9]]*100</f>
        <v>-7.2580645161290329</v>
      </c>
      <c r="S17" s="24">
        <f>テーブル13[[#This Row],[列7]]/テーブル13[[#This Row],[列6]]</f>
        <v>2.7333333333333334</v>
      </c>
      <c r="U17" s="54">
        <f t="shared" ca="1" si="2"/>
        <v>90.00058476463451</v>
      </c>
    </row>
    <row r="18" spans="1:21" ht="17.25" customHeight="1" x14ac:dyDescent="0.4">
      <c r="A18" s="17" t="s">
        <v>184</v>
      </c>
      <c r="B18" s="17" t="s">
        <v>169</v>
      </c>
      <c r="C18" s="18">
        <v>149</v>
      </c>
      <c r="D18" s="18">
        <v>494</v>
      </c>
      <c r="E18" s="18">
        <v>244</v>
      </c>
      <c r="F18" s="18">
        <v>250</v>
      </c>
      <c r="G18" s="25">
        <v>149</v>
      </c>
      <c r="H18" s="25">
        <v>439</v>
      </c>
      <c r="I18" s="25">
        <v>208</v>
      </c>
      <c r="J18" s="25">
        <v>231</v>
      </c>
      <c r="K18" s="20">
        <f>テーブル13[[#This Row],[列6]]-テーブル13[[#This Row],[列2]]</f>
        <v>0</v>
      </c>
      <c r="L18" s="20">
        <f>テーブル13[[#This Row],[列7]]-テーブル13[[#This Row],[列3]]</f>
        <v>-55</v>
      </c>
      <c r="M18" s="20">
        <f>テーブル13[[#This Row],[列8]]-テーブル13[[#This Row],[列4]]</f>
        <v>-36</v>
      </c>
      <c r="N18" s="20">
        <f>テーブル13[[#This Row],[列9]]-テーブル13[[#This Row],[列5]]</f>
        <v>-19</v>
      </c>
      <c r="O18" s="21">
        <f>テーブル13[[#This Row],[列10]]/テーブル13[[#This Row],[列6]]*100</f>
        <v>0</v>
      </c>
      <c r="P18" s="21">
        <f>テーブル13[[#This Row],[列11]]/テーブル13[[#This Row],[列7]]*100</f>
        <v>-12.52847380410023</v>
      </c>
      <c r="Q18" s="21">
        <f>テーブル13[[#This Row],[列12]]/テーブル13[[#This Row],[列8]]*100</f>
        <v>-17.307692307692307</v>
      </c>
      <c r="R18" s="21">
        <f>テーブル13[[#This Row],[列13]]/テーブル13[[#This Row],[列9]]*100</f>
        <v>-8.2251082251082259</v>
      </c>
      <c r="S18" s="24">
        <f>テーブル13[[#This Row],[列7]]/テーブル13[[#This Row],[列6]]</f>
        <v>2.9463087248322148</v>
      </c>
      <c r="U18" s="54">
        <f t="shared" ca="1" si="2"/>
        <v>149.00041791959117</v>
      </c>
    </row>
    <row r="19" spans="1:21" ht="17.25" customHeight="1" x14ac:dyDescent="0.4">
      <c r="A19" s="17" t="s">
        <v>184</v>
      </c>
      <c r="B19" s="17" t="s">
        <v>159</v>
      </c>
      <c r="C19" s="18">
        <v>76</v>
      </c>
      <c r="D19" s="18">
        <v>220</v>
      </c>
      <c r="E19" s="18">
        <v>113</v>
      </c>
      <c r="F19" s="18">
        <v>107</v>
      </c>
      <c r="G19" s="25">
        <v>65</v>
      </c>
      <c r="H19" s="25">
        <v>190</v>
      </c>
      <c r="I19" s="25">
        <v>101</v>
      </c>
      <c r="J19" s="25">
        <v>89</v>
      </c>
      <c r="K19" s="20">
        <f>テーブル13[[#This Row],[列6]]-テーブル13[[#This Row],[列2]]</f>
        <v>-11</v>
      </c>
      <c r="L19" s="20">
        <f>テーブル13[[#This Row],[列7]]-テーブル13[[#This Row],[列3]]</f>
        <v>-30</v>
      </c>
      <c r="M19" s="20">
        <f>テーブル13[[#This Row],[列8]]-テーブル13[[#This Row],[列4]]</f>
        <v>-12</v>
      </c>
      <c r="N19" s="20">
        <f>テーブル13[[#This Row],[列9]]-テーブル13[[#This Row],[列5]]</f>
        <v>-18</v>
      </c>
      <c r="O19" s="21">
        <f>テーブル13[[#This Row],[列10]]/テーブル13[[#This Row],[列6]]*100</f>
        <v>-16.923076923076923</v>
      </c>
      <c r="P19" s="21">
        <f>テーブル13[[#This Row],[列11]]/テーブル13[[#This Row],[列7]]*100</f>
        <v>-15.789473684210526</v>
      </c>
      <c r="Q19" s="21">
        <f>テーブル13[[#This Row],[列12]]/テーブル13[[#This Row],[列8]]*100</f>
        <v>-11.881188118811881</v>
      </c>
      <c r="R19" s="21">
        <f>テーブル13[[#This Row],[列13]]/テーブル13[[#This Row],[列9]]*100</f>
        <v>-20.224719101123593</v>
      </c>
      <c r="S19" s="24">
        <f>テーブル13[[#This Row],[列7]]/テーブル13[[#This Row],[列6]]</f>
        <v>2.9230769230769229</v>
      </c>
      <c r="U19" s="54">
        <f t="shared" ca="1" si="2"/>
        <v>65.000119457218304</v>
      </c>
    </row>
    <row r="20" spans="1:21" ht="17.25" customHeight="1" x14ac:dyDescent="0.4">
      <c r="A20" s="17" t="s">
        <v>184</v>
      </c>
      <c r="B20" s="17" t="s">
        <v>142</v>
      </c>
      <c r="C20" s="18">
        <v>183</v>
      </c>
      <c r="D20" s="18">
        <v>565</v>
      </c>
      <c r="E20" s="18">
        <v>274</v>
      </c>
      <c r="F20" s="18">
        <v>291</v>
      </c>
      <c r="G20" s="25">
        <v>192</v>
      </c>
      <c r="H20" s="25">
        <v>560</v>
      </c>
      <c r="I20" s="25">
        <v>268</v>
      </c>
      <c r="J20" s="25">
        <v>292</v>
      </c>
      <c r="K20" s="20">
        <f>テーブル13[[#This Row],[列6]]-テーブル13[[#This Row],[列2]]</f>
        <v>9</v>
      </c>
      <c r="L20" s="20">
        <f>テーブル13[[#This Row],[列7]]-テーブル13[[#This Row],[列3]]</f>
        <v>-5</v>
      </c>
      <c r="M20" s="20">
        <f>テーブル13[[#This Row],[列8]]-テーブル13[[#This Row],[列4]]</f>
        <v>-6</v>
      </c>
      <c r="N20" s="20">
        <f>テーブル13[[#This Row],[列9]]-テーブル13[[#This Row],[列5]]</f>
        <v>1</v>
      </c>
      <c r="O20" s="21">
        <f>テーブル13[[#This Row],[列10]]/テーブル13[[#This Row],[列6]]*100</f>
        <v>4.6875</v>
      </c>
      <c r="P20" s="21">
        <f>テーブル13[[#This Row],[列11]]/テーブル13[[#This Row],[列7]]*100</f>
        <v>-0.89285714285714279</v>
      </c>
      <c r="Q20" s="21">
        <f>テーブル13[[#This Row],[列12]]/テーブル13[[#This Row],[列8]]*100</f>
        <v>-2.2388059701492535</v>
      </c>
      <c r="R20" s="21">
        <f>テーブル13[[#This Row],[列13]]/テーブル13[[#This Row],[列9]]*100</f>
        <v>0.34246575342465752</v>
      </c>
      <c r="S20" s="24">
        <f>テーブル13[[#This Row],[列7]]/テーブル13[[#This Row],[列6]]</f>
        <v>2.9166666666666665</v>
      </c>
      <c r="U20" s="54">
        <f t="shared" ca="1" si="2"/>
        <v>192.0000817353507</v>
      </c>
    </row>
    <row r="21" spans="1:21" ht="17.25" customHeight="1" x14ac:dyDescent="0.4">
      <c r="A21" s="17" t="s">
        <v>184</v>
      </c>
      <c r="B21" s="17" t="s">
        <v>137</v>
      </c>
      <c r="C21" s="18">
        <v>74</v>
      </c>
      <c r="D21" s="18">
        <v>218</v>
      </c>
      <c r="E21" s="18">
        <v>105</v>
      </c>
      <c r="F21" s="18">
        <v>113</v>
      </c>
      <c r="G21" s="25">
        <v>84</v>
      </c>
      <c r="H21" s="25">
        <v>238</v>
      </c>
      <c r="I21" s="25">
        <v>120</v>
      </c>
      <c r="J21" s="25">
        <v>118</v>
      </c>
      <c r="K21" s="20">
        <f>テーブル13[[#This Row],[列6]]-テーブル13[[#This Row],[列2]]</f>
        <v>10</v>
      </c>
      <c r="L21" s="20">
        <f>テーブル13[[#This Row],[列7]]-テーブル13[[#This Row],[列3]]</f>
        <v>20</v>
      </c>
      <c r="M21" s="20">
        <f>テーブル13[[#This Row],[列8]]-テーブル13[[#This Row],[列4]]</f>
        <v>15</v>
      </c>
      <c r="N21" s="20">
        <f>テーブル13[[#This Row],[列9]]-テーブル13[[#This Row],[列5]]</f>
        <v>5</v>
      </c>
      <c r="O21" s="21">
        <f>テーブル13[[#This Row],[列10]]/テーブル13[[#This Row],[列6]]*100</f>
        <v>11.904761904761903</v>
      </c>
      <c r="P21" s="21">
        <f>テーブル13[[#This Row],[列11]]/テーブル13[[#This Row],[列7]]*100</f>
        <v>8.4033613445378155</v>
      </c>
      <c r="Q21" s="21">
        <f>テーブル13[[#This Row],[列12]]/テーブル13[[#This Row],[列8]]*100</f>
        <v>12.5</v>
      </c>
      <c r="R21" s="21">
        <f>テーブル13[[#This Row],[列13]]/テーブル13[[#This Row],[列9]]*100</f>
        <v>4.2372881355932197</v>
      </c>
      <c r="S21" s="24">
        <f>テーブル13[[#This Row],[列7]]/テーブル13[[#This Row],[列6]]</f>
        <v>2.8333333333333335</v>
      </c>
      <c r="U21" s="54">
        <f t="shared" ca="1" si="2"/>
        <v>84.000500403571962</v>
      </c>
    </row>
    <row r="22" spans="1:21" ht="17.25" customHeight="1" x14ac:dyDescent="0.4">
      <c r="A22" s="17" t="s">
        <v>184</v>
      </c>
      <c r="B22" s="17" t="s">
        <v>151</v>
      </c>
      <c r="C22" s="18">
        <v>188</v>
      </c>
      <c r="D22" s="18">
        <v>558</v>
      </c>
      <c r="E22" s="18">
        <v>274</v>
      </c>
      <c r="F22" s="18">
        <v>284</v>
      </c>
      <c r="G22" s="25">
        <v>195</v>
      </c>
      <c r="H22" s="25">
        <v>541</v>
      </c>
      <c r="I22" s="25">
        <v>264</v>
      </c>
      <c r="J22" s="25">
        <v>277</v>
      </c>
      <c r="K22" s="20">
        <f>テーブル13[[#This Row],[列6]]-テーブル13[[#This Row],[列2]]</f>
        <v>7</v>
      </c>
      <c r="L22" s="20">
        <f>テーブル13[[#This Row],[列7]]-テーブル13[[#This Row],[列3]]</f>
        <v>-17</v>
      </c>
      <c r="M22" s="20">
        <f>テーブル13[[#This Row],[列8]]-テーブル13[[#This Row],[列4]]</f>
        <v>-10</v>
      </c>
      <c r="N22" s="20">
        <f>テーブル13[[#This Row],[列9]]-テーブル13[[#This Row],[列5]]</f>
        <v>-7</v>
      </c>
      <c r="O22" s="21">
        <f>テーブル13[[#This Row],[列10]]/テーブル13[[#This Row],[列6]]*100</f>
        <v>3.5897435897435894</v>
      </c>
      <c r="P22" s="21">
        <f>テーブル13[[#This Row],[列11]]/テーブル13[[#This Row],[列7]]*100</f>
        <v>-3.1423290203327174</v>
      </c>
      <c r="Q22" s="21">
        <f>テーブル13[[#This Row],[列12]]/テーブル13[[#This Row],[列8]]*100</f>
        <v>-3.7878787878787881</v>
      </c>
      <c r="R22" s="21">
        <f>テーブル13[[#This Row],[列13]]/テーブル13[[#This Row],[列9]]*100</f>
        <v>-2.5270758122743682</v>
      </c>
      <c r="S22" s="24">
        <f>テーブル13[[#This Row],[列7]]/テーブル13[[#This Row],[列6]]</f>
        <v>2.7743589743589743</v>
      </c>
      <c r="U22" s="54">
        <f t="shared" ca="1" si="2"/>
        <v>195.00044747833365</v>
      </c>
    </row>
    <row r="23" spans="1:21" ht="17.25" customHeight="1" x14ac:dyDescent="0.4">
      <c r="A23" s="17" t="s">
        <v>184</v>
      </c>
      <c r="B23" s="17" t="s">
        <v>128</v>
      </c>
      <c r="C23" s="18">
        <v>298</v>
      </c>
      <c r="D23" s="18">
        <v>817</v>
      </c>
      <c r="E23" s="18">
        <v>401</v>
      </c>
      <c r="F23" s="18">
        <v>416</v>
      </c>
      <c r="G23" s="25">
        <v>342</v>
      </c>
      <c r="H23" s="25">
        <v>879</v>
      </c>
      <c r="I23" s="25">
        <v>424</v>
      </c>
      <c r="J23" s="25">
        <v>455</v>
      </c>
      <c r="K23" s="20">
        <f>テーブル13[[#This Row],[列6]]-テーブル13[[#This Row],[列2]]</f>
        <v>44</v>
      </c>
      <c r="L23" s="20">
        <f>テーブル13[[#This Row],[列7]]-テーブル13[[#This Row],[列3]]</f>
        <v>62</v>
      </c>
      <c r="M23" s="20">
        <f>テーブル13[[#This Row],[列8]]-テーブル13[[#This Row],[列4]]</f>
        <v>23</v>
      </c>
      <c r="N23" s="20">
        <f>テーブル13[[#This Row],[列9]]-テーブル13[[#This Row],[列5]]</f>
        <v>39</v>
      </c>
      <c r="O23" s="21">
        <f>テーブル13[[#This Row],[列10]]/テーブル13[[#This Row],[列6]]*100</f>
        <v>12.865497076023392</v>
      </c>
      <c r="P23" s="21">
        <f>テーブル13[[#This Row],[列11]]/テーブル13[[#This Row],[列7]]*100</f>
        <v>7.0534698521046639</v>
      </c>
      <c r="Q23" s="21">
        <f>テーブル13[[#This Row],[列12]]/テーブル13[[#This Row],[列8]]*100</f>
        <v>5.4245283018867925</v>
      </c>
      <c r="R23" s="21">
        <f>テーブル13[[#This Row],[列13]]/テーブル13[[#This Row],[列9]]*100</f>
        <v>8.5714285714285712</v>
      </c>
      <c r="S23" s="24">
        <f>テーブル13[[#This Row],[列7]]/テーブル13[[#This Row],[列6]]</f>
        <v>2.5701754385964914</v>
      </c>
      <c r="U23" s="54">
        <f t="shared" ca="1" si="2"/>
        <v>342.00106467536608</v>
      </c>
    </row>
    <row r="24" spans="1:21" ht="17.25" customHeight="1" x14ac:dyDescent="0.4">
      <c r="A24" s="17" t="s">
        <v>184</v>
      </c>
      <c r="B24" s="17" t="s">
        <v>157</v>
      </c>
      <c r="C24" s="18">
        <v>146</v>
      </c>
      <c r="D24" s="18">
        <v>438</v>
      </c>
      <c r="E24" s="18">
        <v>203</v>
      </c>
      <c r="F24" s="18">
        <v>235</v>
      </c>
      <c r="G24" s="25">
        <v>137</v>
      </c>
      <c r="H24" s="25">
        <v>410</v>
      </c>
      <c r="I24" s="25">
        <v>192</v>
      </c>
      <c r="J24" s="25">
        <v>218</v>
      </c>
      <c r="K24" s="20">
        <f>テーブル13[[#This Row],[列6]]-テーブル13[[#This Row],[列2]]</f>
        <v>-9</v>
      </c>
      <c r="L24" s="20">
        <f>テーブル13[[#This Row],[列7]]-テーブル13[[#This Row],[列3]]</f>
        <v>-28</v>
      </c>
      <c r="M24" s="20">
        <f>テーブル13[[#This Row],[列8]]-テーブル13[[#This Row],[列4]]</f>
        <v>-11</v>
      </c>
      <c r="N24" s="20">
        <f>テーブル13[[#This Row],[列9]]-テーブル13[[#This Row],[列5]]</f>
        <v>-17</v>
      </c>
      <c r="O24" s="21">
        <f>テーブル13[[#This Row],[列10]]/テーブル13[[#This Row],[列6]]*100</f>
        <v>-6.5693430656934311</v>
      </c>
      <c r="P24" s="21">
        <f>テーブル13[[#This Row],[列11]]/テーブル13[[#This Row],[列7]]*100</f>
        <v>-6.8292682926829276</v>
      </c>
      <c r="Q24" s="21">
        <f>テーブル13[[#This Row],[列12]]/テーブル13[[#This Row],[列8]]*100</f>
        <v>-5.7291666666666661</v>
      </c>
      <c r="R24" s="21">
        <f>テーブル13[[#This Row],[列13]]/テーブル13[[#This Row],[列9]]*100</f>
        <v>-7.7981651376146797</v>
      </c>
      <c r="S24" s="24">
        <f>テーブル13[[#This Row],[列7]]/テーブル13[[#This Row],[列6]]</f>
        <v>2.9927007299270074</v>
      </c>
      <c r="U24" s="54">
        <f t="shared" ca="1" si="2"/>
        <v>137.00048421374984</v>
      </c>
    </row>
    <row r="25" spans="1:21" ht="17.25" customHeight="1" x14ac:dyDescent="0.4">
      <c r="A25" s="17" t="s">
        <v>184</v>
      </c>
      <c r="B25" s="17" t="s">
        <v>139</v>
      </c>
      <c r="C25" s="18">
        <v>168</v>
      </c>
      <c r="D25" s="18">
        <v>606</v>
      </c>
      <c r="E25" s="18">
        <v>288</v>
      </c>
      <c r="F25" s="18">
        <v>318</v>
      </c>
      <c r="G25" s="25">
        <v>181</v>
      </c>
      <c r="H25" s="25">
        <v>618</v>
      </c>
      <c r="I25" s="25">
        <v>298</v>
      </c>
      <c r="J25" s="25">
        <v>320</v>
      </c>
      <c r="K25" s="20">
        <f>テーブル13[[#This Row],[列6]]-テーブル13[[#This Row],[列2]]</f>
        <v>13</v>
      </c>
      <c r="L25" s="20">
        <f>テーブル13[[#This Row],[列7]]-テーブル13[[#This Row],[列3]]</f>
        <v>12</v>
      </c>
      <c r="M25" s="20">
        <f>テーブル13[[#This Row],[列8]]-テーブル13[[#This Row],[列4]]</f>
        <v>10</v>
      </c>
      <c r="N25" s="20">
        <f>テーブル13[[#This Row],[列9]]-テーブル13[[#This Row],[列5]]</f>
        <v>2</v>
      </c>
      <c r="O25" s="21">
        <f>テーブル13[[#This Row],[列10]]/テーブル13[[#This Row],[列6]]*100</f>
        <v>7.1823204419889501</v>
      </c>
      <c r="P25" s="21">
        <f>テーブル13[[#This Row],[列11]]/テーブル13[[#This Row],[列7]]*100</f>
        <v>1.9417475728155338</v>
      </c>
      <c r="Q25" s="21">
        <f>テーブル13[[#This Row],[列12]]/テーブル13[[#This Row],[列8]]*100</f>
        <v>3.3557046979865772</v>
      </c>
      <c r="R25" s="21">
        <f>テーブル13[[#This Row],[列13]]/テーブル13[[#This Row],[列9]]*100</f>
        <v>0.625</v>
      </c>
      <c r="S25" s="24">
        <f>テーブル13[[#This Row],[列7]]/テーブル13[[#This Row],[列6]]</f>
        <v>3.4143646408839778</v>
      </c>
      <c r="U25" s="54">
        <f t="shared" ca="1" si="2"/>
        <v>181.00060779249117</v>
      </c>
    </row>
    <row r="26" spans="1:21" ht="17.25" customHeight="1" x14ac:dyDescent="0.4">
      <c r="A26" s="17" t="s">
        <v>184</v>
      </c>
      <c r="B26" s="17" t="s">
        <v>168</v>
      </c>
      <c r="C26" s="18">
        <v>780</v>
      </c>
      <c r="D26" s="18">
        <v>2235</v>
      </c>
      <c r="E26" s="18">
        <v>1085</v>
      </c>
      <c r="F26" s="18">
        <v>1150</v>
      </c>
      <c r="G26" s="25">
        <v>820</v>
      </c>
      <c r="H26" s="25">
        <v>2185</v>
      </c>
      <c r="I26" s="25">
        <v>1080</v>
      </c>
      <c r="J26" s="25">
        <v>1105</v>
      </c>
      <c r="K26" s="20">
        <f>テーブル13[[#This Row],[列6]]-テーブル13[[#This Row],[列2]]</f>
        <v>40</v>
      </c>
      <c r="L26" s="20">
        <f>テーブル13[[#This Row],[列7]]-テーブル13[[#This Row],[列3]]</f>
        <v>-50</v>
      </c>
      <c r="M26" s="20">
        <f>テーブル13[[#This Row],[列8]]-テーブル13[[#This Row],[列4]]</f>
        <v>-5</v>
      </c>
      <c r="N26" s="20">
        <f>テーブル13[[#This Row],[列9]]-テーブル13[[#This Row],[列5]]</f>
        <v>-45</v>
      </c>
      <c r="O26" s="21">
        <f>テーブル13[[#This Row],[列10]]/テーブル13[[#This Row],[列6]]*100</f>
        <v>4.8780487804878048</v>
      </c>
      <c r="P26" s="21">
        <f>テーブル13[[#This Row],[列11]]/テーブル13[[#This Row],[列7]]*100</f>
        <v>-2.2883295194508007</v>
      </c>
      <c r="Q26" s="21">
        <f>テーブル13[[#This Row],[列12]]/テーブル13[[#This Row],[列8]]*100</f>
        <v>-0.46296296296296291</v>
      </c>
      <c r="R26" s="21">
        <f>テーブル13[[#This Row],[列13]]/テーブル13[[#This Row],[列9]]*100</f>
        <v>-4.0723981900452486</v>
      </c>
      <c r="S26" s="24">
        <f>テーブル13[[#This Row],[列7]]/テーブル13[[#This Row],[列6]]</f>
        <v>2.6646341463414633</v>
      </c>
      <c r="U26" s="54">
        <f t="shared" ca="1" si="2"/>
        <v>820.00431876844902</v>
      </c>
    </row>
    <row r="27" spans="1:21" ht="17.25" customHeight="1" x14ac:dyDescent="0.4">
      <c r="A27" s="17" t="s">
        <v>184</v>
      </c>
      <c r="B27" s="17" t="s">
        <v>164</v>
      </c>
      <c r="C27" s="18">
        <v>95</v>
      </c>
      <c r="D27" s="18">
        <v>155</v>
      </c>
      <c r="E27" s="18">
        <v>66</v>
      </c>
      <c r="F27" s="18">
        <v>89</v>
      </c>
      <c r="G27" s="25">
        <v>76</v>
      </c>
      <c r="H27" s="25">
        <v>116</v>
      </c>
      <c r="I27" s="25">
        <v>46</v>
      </c>
      <c r="J27" s="25">
        <v>70</v>
      </c>
      <c r="K27" s="20">
        <f>テーブル13[[#This Row],[列6]]-テーブル13[[#This Row],[列2]]</f>
        <v>-19</v>
      </c>
      <c r="L27" s="20">
        <f>テーブル13[[#This Row],[列7]]-テーブル13[[#This Row],[列3]]</f>
        <v>-39</v>
      </c>
      <c r="M27" s="20">
        <f>テーブル13[[#This Row],[列8]]-テーブル13[[#This Row],[列4]]</f>
        <v>-20</v>
      </c>
      <c r="N27" s="20">
        <f>テーブル13[[#This Row],[列9]]-テーブル13[[#This Row],[列5]]</f>
        <v>-19</v>
      </c>
      <c r="O27" s="21">
        <f>テーブル13[[#This Row],[列10]]/テーブル13[[#This Row],[列6]]*100</f>
        <v>-25</v>
      </c>
      <c r="P27" s="21">
        <f>テーブル13[[#This Row],[列11]]/テーブル13[[#This Row],[列7]]*100</f>
        <v>-33.620689655172413</v>
      </c>
      <c r="Q27" s="21">
        <f>テーブル13[[#This Row],[列12]]/テーブル13[[#This Row],[列8]]*100</f>
        <v>-43.478260869565219</v>
      </c>
      <c r="R27" s="21">
        <f>テーブル13[[#This Row],[列13]]/テーブル13[[#This Row],[列9]]*100</f>
        <v>-27.142857142857142</v>
      </c>
      <c r="S27" s="24">
        <f>テーブル13[[#This Row],[列7]]/テーブル13[[#This Row],[列6]]</f>
        <v>1.5263157894736843</v>
      </c>
      <c r="U27" s="54">
        <f t="shared" ca="1" si="2"/>
        <v>76.000632355415931</v>
      </c>
    </row>
    <row r="28" spans="1:21" ht="17.25" customHeight="1" x14ac:dyDescent="0.4">
      <c r="A28" s="17" t="s">
        <v>184</v>
      </c>
      <c r="B28" s="17" t="s">
        <v>149</v>
      </c>
      <c r="C28" s="18">
        <v>133</v>
      </c>
      <c r="D28" s="18">
        <v>340</v>
      </c>
      <c r="E28" s="18">
        <v>175</v>
      </c>
      <c r="F28" s="18">
        <v>165</v>
      </c>
      <c r="G28" s="25">
        <v>136</v>
      </c>
      <c r="H28" s="25">
        <v>327</v>
      </c>
      <c r="I28" s="25">
        <v>161</v>
      </c>
      <c r="J28" s="25">
        <v>166</v>
      </c>
      <c r="K28" s="20">
        <f>テーブル13[[#This Row],[列6]]-テーブル13[[#This Row],[列2]]</f>
        <v>3</v>
      </c>
      <c r="L28" s="20">
        <f>テーブル13[[#This Row],[列7]]-テーブル13[[#This Row],[列3]]</f>
        <v>-13</v>
      </c>
      <c r="M28" s="20">
        <f>テーブル13[[#This Row],[列8]]-テーブル13[[#This Row],[列4]]</f>
        <v>-14</v>
      </c>
      <c r="N28" s="20">
        <f>テーブル13[[#This Row],[列9]]-テーブル13[[#This Row],[列5]]</f>
        <v>1</v>
      </c>
      <c r="O28" s="21">
        <f>テーブル13[[#This Row],[列10]]/テーブル13[[#This Row],[列6]]*100</f>
        <v>2.2058823529411766</v>
      </c>
      <c r="P28" s="21">
        <f>テーブル13[[#This Row],[列11]]/テーブル13[[#This Row],[列7]]*100</f>
        <v>-3.9755351681957185</v>
      </c>
      <c r="Q28" s="21">
        <f>テーブル13[[#This Row],[列12]]/テーブル13[[#This Row],[列8]]*100</f>
        <v>-8.695652173913043</v>
      </c>
      <c r="R28" s="21">
        <f>テーブル13[[#This Row],[列13]]/テーブル13[[#This Row],[列9]]*100</f>
        <v>0.60240963855421692</v>
      </c>
      <c r="S28" s="24">
        <f>テーブル13[[#This Row],[列7]]/テーブル13[[#This Row],[列6]]</f>
        <v>2.4044117647058822</v>
      </c>
      <c r="U28" s="54">
        <f t="shared" ca="1" si="2"/>
        <v>136.00072590669183</v>
      </c>
    </row>
    <row r="29" spans="1:21" ht="17.25" customHeight="1" x14ac:dyDescent="0.4">
      <c r="A29" s="17" t="s">
        <v>184</v>
      </c>
      <c r="B29" s="17" t="s">
        <v>177</v>
      </c>
      <c r="C29" s="18">
        <v>225</v>
      </c>
      <c r="D29" s="18">
        <v>744</v>
      </c>
      <c r="E29" s="18">
        <v>371</v>
      </c>
      <c r="F29" s="18">
        <v>373</v>
      </c>
      <c r="G29" s="25">
        <v>219</v>
      </c>
      <c r="H29" s="25">
        <v>651</v>
      </c>
      <c r="I29" s="25">
        <v>320</v>
      </c>
      <c r="J29" s="25">
        <v>331</v>
      </c>
      <c r="K29" s="20">
        <f>テーブル13[[#This Row],[列6]]-テーブル13[[#This Row],[列2]]</f>
        <v>-6</v>
      </c>
      <c r="L29" s="20">
        <f>テーブル13[[#This Row],[列7]]-テーブル13[[#This Row],[列3]]</f>
        <v>-93</v>
      </c>
      <c r="M29" s="20">
        <f>テーブル13[[#This Row],[列8]]-テーブル13[[#This Row],[列4]]</f>
        <v>-51</v>
      </c>
      <c r="N29" s="20">
        <f>テーブル13[[#This Row],[列9]]-テーブル13[[#This Row],[列5]]</f>
        <v>-42</v>
      </c>
      <c r="O29" s="21">
        <f>テーブル13[[#This Row],[列10]]/テーブル13[[#This Row],[列6]]*100</f>
        <v>-2.7397260273972601</v>
      </c>
      <c r="P29" s="21">
        <f>テーブル13[[#This Row],[列11]]/テーブル13[[#This Row],[列7]]*100</f>
        <v>-14.285714285714285</v>
      </c>
      <c r="Q29" s="21">
        <f>テーブル13[[#This Row],[列12]]/テーブル13[[#This Row],[列8]]*100</f>
        <v>-15.937499999999998</v>
      </c>
      <c r="R29" s="21">
        <f>テーブル13[[#This Row],[列13]]/テーブル13[[#This Row],[列9]]*100</f>
        <v>-12.688821752265861</v>
      </c>
      <c r="S29" s="24">
        <f>テーブル13[[#This Row],[列7]]/テーブル13[[#This Row],[列6]]</f>
        <v>2.9726027397260273</v>
      </c>
      <c r="U29" s="54">
        <f t="shared" ca="1" si="2"/>
        <v>219.00084644419849</v>
      </c>
    </row>
    <row r="30" spans="1:21" ht="17.25" customHeight="1" x14ac:dyDescent="0.4">
      <c r="A30" s="17" t="s">
        <v>186</v>
      </c>
      <c r="B30" s="17" t="s">
        <v>145</v>
      </c>
      <c r="C30" s="18">
        <v>413</v>
      </c>
      <c r="D30" s="18">
        <v>1122</v>
      </c>
      <c r="E30" s="18">
        <v>547</v>
      </c>
      <c r="F30" s="18">
        <v>575</v>
      </c>
      <c r="G30" s="25">
        <v>411</v>
      </c>
      <c r="H30" s="25">
        <v>1119</v>
      </c>
      <c r="I30" s="25">
        <v>557</v>
      </c>
      <c r="J30" s="25">
        <v>562</v>
      </c>
      <c r="K30" s="20">
        <f>テーブル13[[#This Row],[列6]]-テーブル13[[#This Row],[列2]]</f>
        <v>-2</v>
      </c>
      <c r="L30" s="20">
        <f>テーブル13[[#This Row],[列7]]-テーブル13[[#This Row],[列3]]</f>
        <v>-3</v>
      </c>
      <c r="M30" s="20">
        <f>テーブル13[[#This Row],[列8]]-テーブル13[[#This Row],[列4]]</f>
        <v>10</v>
      </c>
      <c r="N30" s="20">
        <f>テーブル13[[#This Row],[列9]]-テーブル13[[#This Row],[列5]]</f>
        <v>-13</v>
      </c>
      <c r="O30" s="21">
        <f>テーブル13[[#This Row],[列10]]/テーブル13[[#This Row],[列6]]*100</f>
        <v>-0.48661800486618007</v>
      </c>
      <c r="P30" s="21">
        <f>テーブル13[[#This Row],[列11]]/テーブル13[[#This Row],[列7]]*100</f>
        <v>-0.26809651474530832</v>
      </c>
      <c r="Q30" s="21">
        <f>テーブル13[[#This Row],[列12]]/テーブル13[[#This Row],[列8]]*100</f>
        <v>1.7953321364452424</v>
      </c>
      <c r="R30" s="21">
        <f>テーブル13[[#This Row],[列13]]/テーブル13[[#This Row],[列9]]*100</f>
        <v>-2.3131672597864767</v>
      </c>
      <c r="S30" s="24">
        <f>テーブル13[[#This Row],[列7]]/テーブル13[[#This Row],[列6]]</f>
        <v>2.7226277372262775</v>
      </c>
      <c r="U30" s="54">
        <f t="shared" ca="1" si="2"/>
        <v>411.00391897188257</v>
      </c>
    </row>
    <row r="31" spans="1:21" ht="17.25" customHeight="1" x14ac:dyDescent="0.4">
      <c r="A31" s="17" t="s">
        <v>186</v>
      </c>
      <c r="B31" s="17" t="s">
        <v>118</v>
      </c>
      <c r="C31" s="18">
        <v>619</v>
      </c>
      <c r="D31" s="18">
        <v>1473</v>
      </c>
      <c r="E31" s="18">
        <v>778</v>
      </c>
      <c r="F31" s="18">
        <v>695</v>
      </c>
      <c r="G31" s="25">
        <v>765</v>
      </c>
      <c r="H31" s="25">
        <v>1721</v>
      </c>
      <c r="I31" s="25">
        <v>909</v>
      </c>
      <c r="J31" s="25">
        <v>812</v>
      </c>
      <c r="K31" s="20">
        <f>テーブル13[[#This Row],[列6]]-テーブル13[[#This Row],[列2]]</f>
        <v>146</v>
      </c>
      <c r="L31" s="20">
        <f>テーブル13[[#This Row],[列7]]-テーブル13[[#This Row],[列3]]</f>
        <v>248</v>
      </c>
      <c r="M31" s="20">
        <f>テーブル13[[#This Row],[列8]]-テーブル13[[#This Row],[列4]]</f>
        <v>131</v>
      </c>
      <c r="N31" s="20">
        <f>テーブル13[[#This Row],[列9]]-テーブル13[[#This Row],[列5]]</f>
        <v>117</v>
      </c>
      <c r="O31" s="21">
        <f>テーブル13[[#This Row],[列10]]/テーブル13[[#This Row],[列6]]*100</f>
        <v>19.084967320261438</v>
      </c>
      <c r="P31" s="21">
        <f>テーブル13[[#This Row],[列11]]/テーブル13[[#This Row],[列7]]*100</f>
        <v>14.410226612434633</v>
      </c>
      <c r="Q31" s="21">
        <f>テーブル13[[#This Row],[列12]]/テーブル13[[#This Row],[列8]]*100</f>
        <v>14.411441144114413</v>
      </c>
      <c r="R31" s="21">
        <f>テーブル13[[#This Row],[列13]]/テーブル13[[#This Row],[列9]]*100</f>
        <v>14.408866995073891</v>
      </c>
      <c r="S31" s="24">
        <f>テーブル13[[#This Row],[列7]]/テーブル13[[#This Row],[列6]]</f>
        <v>2.2496732026143791</v>
      </c>
      <c r="U31" s="54">
        <f t="shared" ca="1" si="2"/>
        <v>765.00390197706247</v>
      </c>
    </row>
    <row r="32" spans="1:21" ht="17.25" customHeight="1" x14ac:dyDescent="0.4">
      <c r="A32" s="17" t="s">
        <v>186</v>
      </c>
      <c r="B32" s="17" t="s">
        <v>120</v>
      </c>
      <c r="C32" s="18">
        <v>860</v>
      </c>
      <c r="D32" s="18">
        <v>1971</v>
      </c>
      <c r="E32" s="18">
        <v>1035</v>
      </c>
      <c r="F32" s="18">
        <v>936</v>
      </c>
      <c r="G32" s="25">
        <v>929</v>
      </c>
      <c r="H32" s="25">
        <v>2135</v>
      </c>
      <c r="I32" s="25">
        <v>1109</v>
      </c>
      <c r="J32" s="25">
        <v>1026</v>
      </c>
      <c r="K32" s="20">
        <f>テーブル13[[#This Row],[列6]]-テーブル13[[#This Row],[列2]]</f>
        <v>69</v>
      </c>
      <c r="L32" s="20">
        <f>テーブル13[[#This Row],[列7]]-テーブル13[[#This Row],[列3]]</f>
        <v>164</v>
      </c>
      <c r="M32" s="20">
        <f>テーブル13[[#This Row],[列8]]-テーブル13[[#This Row],[列4]]</f>
        <v>74</v>
      </c>
      <c r="N32" s="20">
        <f>テーブル13[[#This Row],[列9]]-テーブル13[[#This Row],[列5]]</f>
        <v>90</v>
      </c>
      <c r="O32" s="21">
        <f>テーブル13[[#This Row],[列10]]/テーブル13[[#This Row],[列6]]*100</f>
        <v>7.4273412271259414</v>
      </c>
      <c r="P32" s="21">
        <f>テーブル13[[#This Row],[列11]]/テーブル13[[#This Row],[列7]]*100</f>
        <v>7.6814988290398123</v>
      </c>
      <c r="Q32" s="21">
        <f>テーブル13[[#This Row],[列12]]/テーブル13[[#This Row],[列8]]*100</f>
        <v>6.6726780883678991</v>
      </c>
      <c r="R32" s="21">
        <f>テーブル13[[#This Row],[列13]]/テーブル13[[#This Row],[列9]]*100</f>
        <v>8.7719298245614024</v>
      </c>
      <c r="S32" s="24">
        <f>テーブル13[[#This Row],[列7]]/テーブル13[[#This Row],[列6]]</f>
        <v>2.2981700753498386</v>
      </c>
      <c r="U32" s="54">
        <f t="shared" ca="1" si="2"/>
        <v>929.00577587701991</v>
      </c>
    </row>
    <row r="33" spans="1:21" ht="17.25" customHeight="1" x14ac:dyDescent="0.4">
      <c r="A33" s="17" t="s">
        <v>186</v>
      </c>
      <c r="B33" s="17" t="s">
        <v>173</v>
      </c>
      <c r="C33" s="18">
        <v>768</v>
      </c>
      <c r="D33" s="18">
        <v>1744</v>
      </c>
      <c r="E33" s="18">
        <v>903</v>
      </c>
      <c r="F33" s="18">
        <v>841</v>
      </c>
      <c r="G33" s="25">
        <v>771</v>
      </c>
      <c r="H33" s="25">
        <v>1664</v>
      </c>
      <c r="I33" s="25">
        <v>869</v>
      </c>
      <c r="J33" s="25">
        <v>795</v>
      </c>
      <c r="K33" s="20">
        <f>テーブル13[[#This Row],[列6]]-テーブル13[[#This Row],[列2]]</f>
        <v>3</v>
      </c>
      <c r="L33" s="20">
        <f>テーブル13[[#This Row],[列7]]-テーブル13[[#This Row],[列3]]</f>
        <v>-80</v>
      </c>
      <c r="M33" s="20">
        <f>テーブル13[[#This Row],[列8]]-テーブル13[[#This Row],[列4]]</f>
        <v>-34</v>
      </c>
      <c r="N33" s="20">
        <f>テーブル13[[#This Row],[列9]]-テーブル13[[#This Row],[列5]]</f>
        <v>-46</v>
      </c>
      <c r="O33" s="21">
        <f>テーブル13[[#This Row],[列10]]/テーブル13[[#This Row],[列6]]*100</f>
        <v>0.38910505836575876</v>
      </c>
      <c r="P33" s="21">
        <f>テーブル13[[#This Row],[列11]]/テーブル13[[#This Row],[列7]]*100</f>
        <v>-4.8076923076923084</v>
      </c>
      <c r="Q33" s="21">
        <f>テーブル13[[#This Row],[列12]]/テーブル13[[#This Row],[列8]]*100</f>
        <v>-3.9125431530494823</v>
      </c>
      <c r="R33" s="21">
        <f>テーブル13[[#This Row],[列13]]/テーブル13[[#This Row],[列9]]*100</f>
        <v>-5.7861635220125791</v>
      </c>
      <c r="S33" s="24">
        <f>テーブル13[[#This Row],[列7]]/テーブル13[[#This Row],[列6]]</f>
        <v>2.1582360570687418</v>
      </c>
      <c r="U33" s="54">
        <f t="shared" ca="1" si="2"/>
        <v>771.00076658813646</v>
      </c>
    </row>
    <row r="34" spans="1:21" ht="17.25" customHeight="1" x14ac:dyDescent="0.4">
      <c r="A34" s="17" t="s">
        <v>186</v>
      </c>
      <c r="B34" s="17" t="s">
        <v>123</v>
      </c>
      <c r="C34" s="18">
        <v>614</v>
      </c>
      <c r="D34" s="18">
        <v>1381</v>
      </c>
      <c r="E34" s="18">
        <v>700</v>
      </c>
      <c r="F34" s="18">
        <v>681</v>
      </c>
      <c r="G34" s="25">
        <v>702</v>
      </c>
      <c r="H34" s="25">
        <v>1508</v>
      </c>
      <c r="I34" s="25">
        <v>787</v>
      </c>
      <c r="J34" s="25">
        <v>721</v>
      </c>
      <c r="K34" s="20">
        <f>テーブル13[[#This Row],[列6]]-テーブル13[[#This Row],[列2]]</f>
        <v>88</v>
      </c>
      <c r="L34" s="20">
        <f>テーブル13[[#This Row],[列7]]-テーブル13[[#This Row],[列3]]</f>
        <v>127</v>
      </c>
      <c r="M34" s="20">
        <f>テーブル13[[#This Row],[列8]]-テーブル13[[#This Row],[列4]]</f>
        <v>87</v>
      </c>
      <c r="N34" s="20">
        <f>テーブル13[[#This Row],[列9]]-テーブル13[[#This Row],[列5]]</f>
        <v>40</v>
      </c>
      <c r="O34" s="21">
        <f>テーブル13[[#This Row],[列10]]/テーブル13[[#This Row],[列6]]*100</f>
        <v>12.535612535612536</v>
      </c>
      <c r="P34" s="21">
        <f>テーブル13[[#This Row],[列11]]/テーブル13[[#This Row],[列7]]*100</f>
        <v>8.4217506631299734</v>
      </c>
      <c r="Q34" s="21">
        <f>テーブル13[[#This Row],[列12]]/テーブル13[[#This Row],[列8]]*100</f>
        <v>11.054637865311308</v>
      </c>
      <c r="R34" s="21">
        <f>テーブル13[[#This Row],[列13]]/テーブル13[[#This Row],[列9]]*100</f>
        <v>5.547850208044383</v>
      </c>
      <c r="S34" s="24">
        <f>テーブル13[[#This Row],[列7]]/テーブル13[[#This Row],[列6]]</f>
        <v>2.1481481481481484</v>
      </c>
      <c r="U34" s="54">
        <f t="shared" ca="1" si="2"/>
        <v>702.00623466716809</v>
      </c>
    </row>
    <row r="35" spans="1:21" ht="17.25" customHeight="1" x14ac:dyDescent="0.4">
      <c r="A35" s="17" t="s">
        <v>187</v>
      </c>
      <c r="B35" s="17" t="s">
        <v>172</v>
      </c>
      <c r="C35" s="18">
        <v>377</v>
      </c>
      <c r="D35" s="18">
        <v>1277</v>
      </c>
      <c r="E35" s="18">
        <v>612</v>
      </c>
      <c r="F35" s="18">
        <v>665</v>
      </c>
      <c r="G35" s="25">
        <v>372</v>
      </c>
      <c r="H35" s="25">
        <v>1195</v>
      </c>
      <c r="I35" s="25">
        <v>576</v>
      </c>
      <c r="J35" s="25">
        <v>619</v>
      </c>
      <c r="K35" s="20">
        <f>テーブル13[[#This Row],[列6]]-テーブル13[[#This Row],[列2]]</f>
        <v>-5</v>
      </c>
      <c r="L35" s="20">
        <f>テーブル13[[#This Row],[列7]]-テーブル13[[#This Row],[列3]]</f>
        <v>-82</v>
      </c>
      <c r="M35" s="20">
        <f>テーブル13[[#This Row],[列8]]-テーブル13[[#This Row],[列4]]</f>
        <v>-36</v>
      </c>
      <c r="N35" s="20">
        <f>テーブル13[[#This Row],[列9]]-テーブル13[[#This Row],[列5]]</f>
        <v>-46</v>
      </c>
      <c r="O35" s="21">
        <f>テーブル13[[#This Row],[列10]]/テーブル13[[#This Row],[列6]]*100</f>
        <v>-1.3440860215053763</v>
      </c>
      <c r="P35" s="21">
        <f>テーブル13[[#This Row],[列11]]/テーブル13[[#This Row],[列7]]*100</f>
        <v>-6.8619246861924683</v>
      </c>
      <c r="Q35" s="21">
        <f>テーブル13[[#This Row],[列12]]/テーブル13[[#This Row],[列8]]*100</f>
        <v>-6.25</v>
      </c>
      <c r="R35" s="21">
        <f>テーブル13[[#This Row],[列13]]/テーブル13[[#This Row],[列9]]*100</f>
        <v>-7.4313408723747978</v>
      </c>
      <c r="S35" s="24">
        <f>テーブル13[[#This Row],[列7]]/テーブル13[[#This Row],[列6]]</f>
        <v>3.2123655913978495</v>
      </c>
      <c r="U35" s="54">
        <f t="shared" ca="1" si="2"/>
        <v>372.00231791387034</v>
      </c>
    </row>
    <row r="36" spans="1:21" ht="17.25" customHeight="1" x14ac:dyDescent="0.4">
      <c r="A36" s="17" t="s">
        <v>187</v>
      </c>
      <c r="B36" s="17" t="s">
        <v>130</v>
      </c>
      <c r="C36" s="18">
        <v>377</v>
      </c>
      <c r="D36" s="18">
        <v>1213</v>
      </c>
      <c r="E36" s="18">
        <v>579</v>
      </c>
      <c r="F36" s="18">
        <v>634</v>
      </c>
      <c r="G36" s="25">
        <v>428</v>
      </c>
      <c r="H36" s="25">
        <v>1276</v>
      </c>
      <c r="I36" s="25">
        <v>611</v>
      </c>
      <c r="J36" s="25">
        <v>665</v>
      </c>
      <c r="K36" s="20">
        <f>テーブル13[[#This Row],[列6]]-テーブル13[[#This Row],[列2]]</f>
        <v>51</v>
      </c>
      <c r="L36" s="20">
        <f>テーブル13[[#This Row],[列7]]-テーブル13[[#This Row],[列3]]</f>
        <v>63</v>
      </c>
      <c r="M36" s="20">
        <f>テーブル13[[#This Row],[列8]]-テーブル13[[#This Row],[列4]]</f>
        <v>32</v>
      </c>
      <c r="N36" s="20">
        <f>テーブル13[[#This Row],[列9]]-テーブル13[[#This Row],[列5]]</f>
        <v>31</v>
      </c>
      <c r="O36" s="21">
        <f>テーブル13[[#This Row],[列10]]/テーブル13[[#This Row],[列6]]*100</f>
        <v>11.915887850467289</v>
      </c>
      <c r="P36" s="21">
        <f>テーブル13[[#This Row],[列11]]/テーブル13[[#This Row],[列7]]*100</f>
        <v>4.9373040752351098</v>
      </c>
      <c r="Q36" s="21">
        <f>テーブル13[[#This Row],[列12]]/テーブル13[[#This Row],[列8]]*100</f>
        <v>5.2373158756137483</v>
      </c>
      <c r="R36" s="21">
        <f>テーブル13[[#This Row],[列13]]/テーブル13[[#This Row],[列9]]*100</f>
        <v>4.6616541353383463</v>
      </c>
      <c r="S36" s="24">
        <f>テーブル13[[#This Row],[列7]]/テーブル13[[#This Row],[列6]]</f>
        <v>2.9813084112149535</v>
      </c>
      <c r="U36" s="54">
        <f t="shared" ca="1" si="2"/>
        <v>428.00307116510123</v>
      </c>
    </row>
    <row r="37" spans="1:21" ht="17.25" customHeight="1" x14ac:dyDescent="0.4">
      <c r="A37" s="17" t="s">
        <v>187</v>
      </c>
      <c r="B37" s="17" t="s">
        <v>163</v>
      </c>
      <c r="C37" s="18">
        <v>191</v>
      </c>
      <c r="D37" s="18">
        <v>556</v>
      </c>
      <c r="E37" s="18">
        <v>281</v>
      </c>
      <c r="F37" s="18">
        <v>275</v>
      </c>
      <c r="G37" s="25">
        <v>198</v>
      </c>
      <c r="H37" s="25">
        <v>520</v>
      </c>
      <c r="I37" s="25">
        <v>262</v>
      </c>
      <c r="J37" s="25">
        <v>258</v>
      </c>
      <c r="K37" s="20">
        <f>テーブル13[[#This Row],[列6]]-テーブル13[[#This Row],[列2]]</f>
        <v>7</v>
      </c>
      <c r="L37" s="20">
        <f>テーブル13[[#This Row],[列7]]-テーブル13[[#This Row],[列3]]</f>
        <v>-36</v>
      </c>
      <c r="M37" s="20">
        <f>テーブル13[[#This Row],[列8]]-テーブル13[[#This Row],[列4]]</f>
        <v>-19</v>
      </c>
      <c r="N37" s="20">
        <f>テーブル13[[#This Row],[列9]]-テーブル13[[#This Row],[列5]]</f>
        <v>-17</v>
      </c>
      <c r="O37" s="21">
        <f>テーブル13[[#This Row],[列10]]/テーブル13[[#This Row],[列6]]*100</f>
        <v>3.535353535353535</v>
      </c>
      <c r="P37" s="21">
        <f>テーブル13[[#This Row],[列11]]/テーブル13[[#This Row],[列7]]*100</f>
        <v>-6.9230769230769234</v>
      </c>
      <c r="Q37" s="21">
        <f>テーブル13[[#This Row],[列12]]/テーブル13[[#This Row],[列8]]*100</f>
        <v>-7.2519083969465647</v>
      </c>
      <c r="R37" s="21">
        <f>テーブル13[[#This Row],[列13]]/テーブル13[[#This Row],[列9]]*100</f>
        <v>-6.5891472868217065</v>
      </c>
      <c r="S37" s="24">
        <f>テーブル13[[#This Row],[列7]]/テーブル13[[#This Row],[列6]]</f>
        <v>2.6262626262626263</v>
      </c>
      <c r="U37" s="54">
        <f t="shared" ca="1" si="2"/>
        <v>198.00112761599183</v>
      </c>
    </row>
    <row r="38" spans="1:21" ht="17.25" customHeight="1" x14ac:dyDescent="0.4">
      <c r="A38" s="17" t="s">
        <v>187</v>
      </c>
      <c r="B38" s="17" t="s">
        <v>143</v>
      </c>
      <c r="C38" s="18">
        <v>36</v>
      </c>
      <c r="D38" s="18">
        <v>115</v>
      </c>
      <c r="E38" s="18">
        <v>54</v>
      </c>
      <c r="F38" s="18">
        <v>61</v>
      </c>
      <c r="G38" s="25">
        <v>34</v>
      </c>
      <c r="H38" s="25">
        <v>111</v>
      </c>
      <c r="I38" s="25">
        <v>53</v>
      </c>
      <c r="J38" s="25">
        <v>58</v>
      </c>
      <c r="K38" s="20">
        <f>テーブル13[[#This Row],[列6]]-テーブル13[[#This Row],[列2]]</f>
        <v>-2</v>
      </c>
      <c r="L38" s="20">
        <f>テーブル13[[#This Row],[列7]]-テーブル13[[#This Row],[列3]]</f>
        <v>-4</v>
      </c>
      <c r="M38" s="20">
        <f>テーブル13[[#This Row],[列8]]-テーブル13[[#This Row],[列4]]</f>
        <v>-1</v>
      </c>
      <c r="N38" s="20">
        <f>テーブル13[[#This Row],[列9]]-テーブル13[[#This Row],[列5]]</f>
        <v>-3</v>
      </c>
      <c r="O38" s="21">
        <f>テーブル13[[#This Row],[列10]]/テーブル13[[#This Row],[列6]]*100</f>
        <v>-5.8823529411764701</v>
      </c>
      <c r="P38" s="21">
        <f>テーブル13[[#This Row],[列11]]/テーブル13[[#This Row],[列7]]*100</f>
        <v>-3.6036036036036037</v>
      </c>
      <c r="Q38" s="21">
        <f>テーブル13[[#This Row],[列12]]/テーブル13[[#This Row],[列8]]*100</f>
        <v>-1.8867924528301887</v>
      </c>
      <c r="R38" s="21">
        <f>テーブル13[[#This Row],[列13]]/テーブル13[[#This Row],[列9]]*100</f>
        <v>-5.1724137931034484</v>
      </c>
      <c r="S38" s="24">
        <f>テーブル13[[#This Row],[列7]]/テーブル13[[#This Row],[列6]]</f>
        <v>3.2647058823529411</v>
      </c>
      <c r="U38" s="54">
        <f t="shared" ca="1" si="2"/>
        <v>34.000199874424496</v>
      </c>
    </row>
    <row r="39" spans="1:21" ht="17.25" customHeight="1" x14ac:dyDescent="0.4">
      <c r="A39" s="17" t="s">
        <v>187</v>
      </c>
      <c r="B39" s="17" t="s">
        <v>156</v>
      </c>
      <c r="C39" s="18">
        <v>143</v>
      </c>
      <c r="D39" s="18">
        <v>291</v>
      </c>
      <c r="E39" s="18">
        <v>126</v>
      </c>
      <c r="F39" s="18">
        <v>165</v>
      </c>
      <c r="G39" s="25">
        <v>144</v>
      </c>
      <c r="H39" s="25">
        <v>268</v>
      </c>
      <c r="I39" s="25">
        <v>111</v>
      </c>
      <c r="J39" s="25">
        <v>157</v>
      </c>
      <c r="K39" s="20">
        <f>テーブル13[[#This Row],[列6]]-テーブル13[[#This Row],[列2]]</f>
        <v>1</v>
      </c>
      <c r="L39" s="20">
        <f>テーブル13[[#This Row],[列7]]-テーブル13[[#This Row],[列3]]</f>
        <v>-23</v>
      </c>
      <c r="M39" s="20">
        <f>テーブル13[[#This Row],[列8]]-テーブル13[[#This Row],[列4]]</f>
        <v>-15</v>
      </c>
      <c r="N39" s="20">
        <f>テーブル13[[#This Row],[列9]]-テーブル13[[#This Row],[列5]]</f>
        <v>-8</v>
      </c>
      <c r="O39" s="21">
        <f>テーブル13[[#This Row],[列10]]/テーブル13[[#This Row],[列6]]*100</f>
        <v>0.69444444444444442</v>
      </c>
      <c r="P39" s="21">
        <f>テーブル13[[#This Row],[列11]]/テーブル13[[#This Row],[列7]]*100</f>
        <v>-8.5820895522388057</v>
      </c>
      <c r="Q39" s="21">
        <f>テーブル13[[#This Row],[列12]]/テーブル13[[#This Row],[列8]]*100</f>
        <v>-13.513513513513514</v>
      </c>
      <c r="R39" s="21">
        <f>テーブル13[[#This Row],[列13]]/テーブル13[[#This Row],[列9]]*100</f>
        <v>-5.095541401273886</v>
      </c>
      <c r="S39" s="24">
        <f>テーブル13[[#This Row],[列7]]/テーブル13[[#This Row],[列6]]</f>
        <v>1.8611111111111112</v>
      </c>
      <c r="U39" s="54">
        <f t="shared" ca="1" si="2"/>
        <v>144.00057530278644</v>
      </c>
    </row>
    <row r="40" spans="1:21" ht="17.25" customHeight="1" x14ac:dyDescent="0.4">
      <c r="A40" s="17" t="s">
        <v>187</v>
      </c>
      <c r="B40" s="17" t="s">
        <v>170</v>
      </c>
      <c r="C40" s="18">
        <v>143</v>
      </c>
      <c r="D40" s="18">
        <v>457</v>
      </c>
      <c r="E40" s="18">
        <v>222</v>
      </c>
      <c r="F40" s="18">
        <v>235</v>
      </c>
      <c r="G40" s="25">
        <v>143</v>
      </c>
      <c r="H40" s="25">
        <v>402</v>
      </c>
      <c r="I40" s="25">
        <v>194</v>
      </c>
      <c r="J40" s="25">
        <v>208</v>
      </c>
      <c r="K40" s="20">
        <f>テーブル13[[#This Row],[列6]]-テーブル13[[#This Row],[列2]]</f>
        <v>0</v>
      </c>
      <c r="L40" s="20">
        <f>テーブル13[[#This Row],[列7]]-テーブル13[[#This Row],[列3]]</f>
        <v>-55</v>
      </c>
      <c r="M40" s="20">
        <f>テーブル13[[#This Row],[列8]]-テーブル13[[#This Row],[列4]]</f>
        <v>-28</v>
      </c>
      <c r="N40" s="20">
        <f>テーブル13[[#This Row],[列9]]-テーブル13[[#This Row],[列5]]</f>
        <v>-27</v>
      </c>
      <c r="O40" s="21">
        <f>テーブル13[[#This Row],[列10]]/テーブル13[[#This Row],[列6]]*100</f>
        <v>0</v>
      </c>
      <c r="P40" s="21">
        <f>テーブル13[[#This Row],[列11]]/テーブル13[[#This Row],[列7]]*100</f>
        <v>-13.681592039800993</v>
      </c>
      <c r="Q40" s="21">
        <f>テーブル13[[#This Row],[列12]]/テーブル13[[#This Row],[列8]]*100</f>
        <v>-14.432989690721648</v>
      </c>
      <c r="R40" s="21">
        <f>テーブル13[[#This Row],[列13]]/テーブル13[[#This Row],[列9]]*100</f>
        <v>-12.980769230769232</v>
      </c>
      <c r="S40" s="24">
        <f>テーブル13[[#This Row],[列7]]/テーブル13[[#This Row],[列6]]</f>
        <v>2.8111888111888113</v>
      </c>
      <c r="U40" s="54">
        <f t="shared" ca="1" si="2"/>
        <v>143.00052757650317</v>
      </c>
    </row>
    <row r="41" spans="1:21" ht="17.25" customHeight="1" x14ac:dyDescent="0.4">
      <c r="A41" s="17" t="s">
        <v>188</v>
      </c>
      <c r="B41" s="17" t="s">
        <v>119</v>
      </c>
      <c r="C41" s="18">
        <v>1769</v>
      </c>
      <c r="D41" s="18">
        <v>4028</v>
      </c>
      <c r="E41" s="18">
        <v>2026</v>
      </c>
      <c r="F41" s="18">
        <v>2002</v>
      </c>
      <c r="G41" s="25">
        <v>1958</v>
      </c>
      <c r="H41" s="25">
        <v>4254</v>
      </c>
      <c r="I41" s="25">
        <v>2204</v>
      </c>
      <c r="J41" s="25">
        <v>2050</v>
      </c>
      <c r="K41" s="20">
        <f>テーブル13[[#This Row],[列6]]-テーブル13[[#This Row],[列2]]</f>
        <v>189</v>
      </c>
      <c r="L41" s="20">
        <f>テーブル13[[#This Row],[列7]]-テーブル13[[#This Row],[列3]]</f>
        <v>226</v>
      </c>
      <c r="M41" s="20">
        <f>テーブル13[[#This Row],[列8]]-テーブル13[[#This Row],[列4]]</f>
        <v>178</v>
      </c>
      <c r="N41" s="20">
        <f>テーブル13[[#This Row],[列9]]-テーブル13[[#This Row],[列5]]</f>
        <v>48</v>
      </c>
      <c r="O41" s="21">
        <f>テーブル13[[#This Row],[列10]]/テーブル13[[#This Row],[列6]]*100</f>
        <v>9.6527068437180805</v>
      </c>
      <c r="P41" s="21">
        <f>テーブル13[[#This Row],[列11]]/テーブル13[[#This Row],[列7]]*100</f>
        <v>5.3126469205453688</v>
      </c>
      <c r="Q41" s="21">
        <f>テーブル13[[#This Row],[列12]]/テーブル13[[#This Row],[列8]]*100</f>
        <v>8.0762250453720519</v>
      </c>
      <c r="R41" s="21">
        <f>テーブル13[[#This Row],[列13]]/テーブル13[[#This Row],[列9]]*100</f>
        <v>2.3414634146341462</v>
      </c>
      <c r="S41" s="24">
        <f>テーブル13[[#This Row],[列7]]/テーブル13[[#This Row],[列6]]</f>
        <v>2.1726251276813073</v>
      </c>
      <c r="U41" s="54">
        <f t="shared" ca="1" si="2"/>
        <v>1958.0100182965989</v>
      </c>
    </row>
    <row r="42" spans="1:21" ht="17.25" customHeight="1" x14ac:dyDescent="0.4">
      <c r="A42" s="17" t="s">
        <v>188</v>
      </c>
      <c r="B42" s="17" t="s">
        <v>126</v>
      </c>
      <c r="C42" s="18">
        <v>927</v>
      </c>
      <c r="D42" s="18">
        <v>2561</v>
      </c>
      <c r="E42" s="18">
        <v>1233</v>
      </c>
      <c r="F42" s="18">
        <v>1328</v>
      </c>
      <c r="G42" s="25">
        <v>997</v>
      </c>
      <c r="H42" s="25">
        <v>2640</v>
      </c>
      <c r="I42" s="25">
        <v>1296</v>
      </c>
      <c r="J42" s="25">
        <v>1344</v>
      </c>
      <c r="K42" s="20">
        <f>テーブル13[[#This Row],[列6]]-テーブル13[[#This Row],[列2]]</f>
        <v>70</v>
      </c>
      <c r="L42" s="20">
        <f>テーブル13[[#This Row],[列7]]-テーブル13[[#This Row],[列3]]</f>
        <v>79</v>
      </c>
      <c r="M42" s="20">
        <f>テーブル13[[#This Row],[列8]]-テーブル13[[#This Row],[列4]]</f>
        <v>63</v>
      </c>
      <c r="N42" s="20">
        <f>テーブル13[[#This Row],[列9]]-テーブル13[[#This Row],[列5]]</f>
        <v>16</v>
      </c>
      <c r="O42" s="21">
        <f>テーブル13[[#This Row],[列10]]/テーブル13[[#This Row],[列6]]*100</f>
        <v>7.0210631895687063</v>
      </c>
      <c r="P42" s="21">
        <f>テーブル13[[#This Row],[列11]]/テーブル13[[#This Row],[列7]]*100</f>
        <v>2.9924242424242422</v>
      </c>
      <c r="Q42" s="21">
        <f>テーブル13[[#This Row],[列12]]/テーブル13[[#This Row],[列8]]*100</f>
        <v>4.8611111111111116</v>
      </c>
      <c r="R42" s="21">
        <f>テーブル13[[#This Row],[列13]]/テーブル13[[#This Row],[列9]]*100</f>
        <v>1.1904761904761905</v>
      </c>
      <c r="S42" s="24">
        <f>テーブル13[[#This Row],[列7]]/テーブル13[[#This Row],[列6]]</f>
        <v>2.6479438314944836</v>
      </c>
      <c r="U42" s="54">
        <f t="shared" ca="1" si="2"/>
        <v>997.00825970693461</v>
      </c>
    </row>
    <row r="43" spans="1:21" ht="17.25" customHeight="1" x14ac:dyDescent="0.4">
      <c r="A43" s="17" t="s">
        <v>188</v>
      </c>
      <c r="B43" s="17" t="s">
        <v>136</v>
      </c>
      <c r="C43" s="18">
        <v>758</v>
      </c>
      <c r="D43" s="18">
        <v>1671</v>
      </c>
      <c r="E43" s="18">
        <v>856</v>
      </c>
      <c r="F43" s="18">
        <v>815</v>
      </c>
      <c r="G43" s="25">
        <v>801</v>
      </c>
      <c r="H43" s="25">
        <v>1692</v>
      </c>
      <c r="I43" s="25">
        <v>865</v>
      </c>
      <c r="J43" s="25">
        <v>827</v>
      </c>
      <c r="K43" s="20">
        <f>テーブル13[[#This Row],[列6]]-テーブル13[[#This Row],[列2]]</f>
        <v>43</v>
      </c>
      <c r="L43" s="20">
        <f>テーブル13[[#This Row],[列7]]-テーブル13[[#This Row],[列3]]</f>
        <v>21</v>
      </c>
      <c r="M43" s="20">
        <f>テーブル13[[#This Row],[列8]]-テーブル13[[#This Row],[列4]]</f>
        <v>9</v>
      </c>
      <c r="N43" s="20">
        <f>テーブル13[[#This Row],[列9]]-テーブル13[[#This Row],[列5]]</f>
        <v>12</v>
      </c>
      <c r="O43" s="21">
        <f>テーブル13[[#This Row],[列10]]/テーブル13[[#This Row],[列6]]*100</f>
        <v>5.3682896379525591</v>
      </c>
      <c r="P43" s="21">
        <f>テーブル13[[#This Row],[列11]]/テーブル13[[#This Row],[列7]]*100</f>
        <v>1.2411347517730498</v>
      </c>
      <c r="Q43" s="21">
        <f>テーブル13[[#This Row],[列12]]/テーブル13[[#This Row],[列8]]*100</f>
        <v>1.0404624277456647</v>
      </c>
      <c r="R43" s="21">
        <f>テーブル13[[#This Row],[列13]]/テーブル13[[#This Row],[列9]]*100</f>
        <v>1.4510278113663846</v>
      </c>
      <c r="S43" s="24">
        <f>テーブル13[[#This Row],[列7]]/テーブル13[[#This Row],[列6]]</f>
        <v>2.1123595505617976</v>
      </c>
      <c r="U43" s="54">
        <f t="shared" ca="1" si="2"/>
        <v>801.00459039325892</v>
      </c>
    </row>
    <row r="44" spans="1:21" ht="17.25" customHeight="1" x14ac:dyDescent="0.4">
      <c r="A44" s="17" t="s">
        <v>188</v>
      </c>
      <c r="B44" s="17" t="s">
        <v>122</v>
      </c>
      <c r="C44" s="18">
        <v>2376</v>
      </c>
      <c r="D44" s="18">
        <v>5360</v>
      </c>
      <c r="E44" s="18">
        <v>2751</v>
      </c>
      <c r="F44" s="18">
        <v>2609</v>
      </c>
      <c r="G44" s="25">
        <v>2711</v>
      </c>
      <c r="H44" s="25">
        <v>5492</v>
      </c>
      <c r="I44" s="25">
        <v>2905</v>
      </c>
      <c r="J44" s="25">
        <v>2587</v>
      </c>
      <c r="K44" s="20">
        <f>テーブル13[[#This Row],[列6]]-テーブル13[[#This Row],[列2]]</f>
        <v>335</v>
      </c>
      <c r="L44" s="20">
        <f>テーブル13[[#This Row],[列7]]-テーブル13[[#This Row],[列3]]</f>
        <v>132</v>
      </c>
      <c r="M44" s="20">
        <f>テーブル13[[#This Row],[列8]]-テーブル13[[#This Row],[列4]]</f>
        <v>154</v>
      </c>
      <c r="N44" s="20">
        <f>テーブル13[[#This Row],[列9]]-テーブル13[[#This Row],[列5]]</f>
        <v>-22</v>
      </c>
      <c r="O44" s="21">
        <f>テーブル13[[#This Row],[列10]]/テーブル13[[#This Row],[列6]]*100</f>
        <v>12.357063814090742</v>
      </c>
      <c r="P44" s="21">
        <f>テーブル13[[#This Row],[列11]]/テーブル13[[#This Row],[列7]]*100</f>
        <v>2.4034959941733427</v>
      </c>
      <c r="Q44" s="21">
        <f>テーブル13[[#This Row],[列12]]/テーブル13[[#This Row],[列8]]*100</f>
        <v>5.3012048192771086</v>
      </c>
      <c r="R44" s="21">
        <f>テーブル13[[#This Row],[列13]]/テーブル13[[#This Row],[列9]]*100</f>
        <v>-0.8504058755315036</v>
      </c>
      <c r="S44" s="24">
        <f>テーブル13[[#This Row],[列7]]/テーブル13[[#This Row],[列6]]</f>
        <v>2.0258207303578017</v>
      </c>
      <c r="U44" s="54">
        <f t="shared" ca="1" si="2"/>
        <v>2711.0245935322623</v>
      </c>
    </row>
    <row r="45" spans="1:21" ht="17.25" customHeight="1" x14ac:dyDescent="0.4">
      <c r="A45" s="17" t="s">
        <v>189</v>
      </c>
      <c r="B45" s="17" t="s">
        <v>178</v>
      </c>
      <c r="C45" s="18">
        <v>814</v>
      </c>
      <c r="D45" s="18">
        <v>1644</v>
      </c>
      <c r="E45" s="18">
        <v>951</v>
      </c>
      <c r="F45" s="18">
        <v>693</v>
      </c>
      <c r="G45" s="25">
        <v>548</v>
      </c>
      <c r="H45" s="25">
        <v>1229</v>
      </c>
      <c r="I45" s="25">
        <v>629</v>
      </c>
      <c r="J45" s="25">
        <v>600</v>
      </c>
      <c r="K45" s="20">
        <f>テーブル13[[#This Row],[列6]]-テーブル13[[#This Row],[列2]]</f>
        <v>-266</v>
      </c>
      <c r="L45" s="20">
        <f>テーブル13[[#This Row],[列7]]-テーブル13[[#This Row],[列3]]</f>
        <v>-415</v>
      </c>
      <c r="M45" s="20">
        <f>テーブル13[[#This Row],[列8]]-テーブル13[[#This Row],[列4]]</f>
        <v>-322</v>
      </c>
      <c r="N45" s="20">
        <f>テーブル13[[#This Row],[列9]]-テーブル13[[#This Row],[列5]]</f>
        <v>-93</v>
      </c>
      <c r="O45" s="21">
        <f>テーブル13[[#This Row],[列10]]/テーブル13[[#This Row],[列6]]*100</f>
        <v>-48.540145985401459</v>
      </c>
      <c r="P45" s="21">
        <f>テーブル13[[#This Row],[列11]]/テーブル13[[#This Row],[列7]]*100</f>
        <v>-33.767290480065093</v>
      </c>
      <c r="Q45" s="21">
        <f>テーブル13[[#This Row],[列12]]/テーブル13[[#This Row],[列8]]*100</f>
        <v>-51.192368839427658</v>
      </c>
      <c r="R45" s="21">
        <f>テーブル13[[#This Row],[列13]]/テーブル13[[#This Row],[列9]]*100</f>
        <v>-15.5</v>
      </c>
      <c r="S45" s="24">
        <f>テーブル13[[#This Row],[列7]]/テーブル13[[#This Row],[列6]]</f>
        <v>2.2427007299270074</v>
      </c>
      <c r="U45" s="54">
        <f t="shared" ca="1" si="2"/>
        <v>548.00455492956837</v>
      </c>
    </row>
    <row r="46" spans="1:21" ht="17.25" customHeight="1" x14ac:dyDescent="0.4">
      <c r="A46" s="17" t="s">
        <v>189</v>
      </c>
      <c r="B46" s="17" t="s">
        <v>165</v>
      </c>
      <c r="C46" s="18">
        <v>526</v>
      </c>
      <c r="D46" s="18">
        <v>1226</v>
      </c>
      <c r="E46" s="18">
        <v>595</v>
      </c>
      <c r="F46" s="18">
        <v>631</v>
      </c>
      <c r="G46" s="25">
        <v>543</v>
      </c>
      <c r="H46" s="25">
        <v>1182</v>
      </c>
      <c r="I46" s="25">
        <v>571</v>
      </c>
      <c r="J46" s="25">
        <v>611</v>
      </c>
      <c r="K46" s="20">
        <f>テーブル13[[#This Row],[列6]]-テーブル13[[#This Row],[列2]]</f>
        <v>17</v>
      </c>
      <c r="L46" s="20">
        <f>テーブル13[[#This Row],[列7]]-テーブル13[[#This Row],[列3]]</f>
        <v>-44</v>
      </c>
      <c r="M46" s="20">
        <f>テーブル13[[#This Row],[列8]]-テーブル13[[#This Row],[列4]]</f>
        <v>-24</v>
      </c>
      <c r="N46" s="20">
        <f>テーブル13[[#This Row],[列9]]-テーブル13[[#This Row],[列5]]</f>
        <v>-20</v>
      </c>
      <c r="O46" s="21">
        <f>テーブル13[[#This Row],[列10]]/テーブル13[[#This Row],[列6]]*100</f>
        <v>3.1307550644567224</v>
      </c>
      <c r="P46" s="21">
        <f>テーブル13[[#This Row],[列11]]/テーブル13[[#This Row],[列7]]*100</f>
        <v>-3.7225042301184432</v>
      </c>
      <c r="Q46" s="21">
        <f>テーブル13[[#This Row],[列12]]/テーブル13[[#This Row],[列8]]*100</f>
        <v>-4.2031523642732047</v>
      </c>
      <c r="R46" s="21">
        <f>テーブル13[[#This Row],[列13]]/テーブル13[[#This Row],[列9]]*100</f>
        <v>-3.2733224222585928</v>
      </c>
      <c r="S46" s="24">
        <f>テーブル13[[#This Row],[列7]]/テーブル13[[#This Row],[列6]]</f>
        <v>2.1767955801104972</v>
      </c>
      <c r="U46" s="54">
        <f t="shared" ca="1" si="2"/>
        <v>543.0032046253184</v>
      </c>
    </row>
    <row r="47" spans="1:21" ht="17.25" customHeight="1" x14ac:dyDescent="0.4">
      <c r="A47" s="17" t="s">
        <v>189</v>
      </c>
      <c r="B47" s="17" t="s">
        <v>121</v>
      </c>
      <c r="C47" s="18">
        <v>828</v>
      </c>
      <c r="D47" s="18">
        <v>1901</v>
      </c>
      <c r="E47" s="18">
        <v>957</v>
      </c>
      <c r="F47" s="18">
        <v>944</v>
      </c>
      <c r="G47" s="25">
        <v>951</v>
      </c>
      <c r="H47" s="25">
        <v>2064</v>
      </c>
      <c r="I47" s="25">
        <v>1035</v>
      </c>
      <c r="J47" s="25">
        <v>1029</v>
      </c>
      <c r="K47" s="20">
        <f>テーブル13[[#This Row],[列6]]-テーブル13[[#This Row],[列2]]</f>
        <v>123</v>
      </c>
      <c r="L47" s="20">
        <f>テーブル13[[#This Row],[列7]]-テーブル13[[#This Row],[列3]]</f>
        <v>163</v>
      </c>
      <c r="M47" s="20">
        <f>テーブル13[[#This Row],[列8]]-テーブル13[[#This Row],[列4]]</f>
        <v>78</v>
      </c>
      <c r="N47" s="20">
        <f>テーブル13[[#This Row],[列9]]-テーブル13[[#This Row],[列5]]</f>
        <v>85</v>
      </c>
      <c r="O47" s="21">
        <f>テーブル13[[#This Row],[列10]]/テーブル13[[#This Row],[列6]]*100</f>
        <v>12.933753943217665</v>
      </c>
      <c r="P47" s="21">
        <f>テーブル13[[#This Row],[列11]]/テーブル13[[#This Row],[列7]]*100</f>
        <v>7.8972868217054266</v>
      </c>
      <c r="Q47" s="21">
        <f>テーブル13[[#This Row],[列12]]/テーブル13[[#This Row],[列8]]*100</f>
        <v>7.5362318840579716</v>
      </c>
      <c r="R47" s="21">
        <f>テーブル13[[#This Row],[列13]]/テーブル13[[#This Row],[列9]]*100</f>
        <v>8.2604470359572399</v>
      </c>
      <c r="S47" s="24">
        <f>テーブル13[[#This Row],[列7]]/テーブル13[[#This Row],[列6]]</f>
        <v>2.170347003154574</v>
      </c>
      <c r="U47" s="54">
        <f t="shared" ca="1" si="2"/>
        <v>951.00142189248004</v>
      </c>
    </row>
    <row r="48" spans="1:21" ht="17.25" customHeight="1" x14ac:dyDescent="0.4">
      <c r="A48" s="17" t="s">
        <v>189</v>
      </c>
      <c r="B48" s="17" t="s">
        <v>124</v>
      </c>
      <c r="C48" s="18">
        <v>884</v>
      </c>
      <c r="D48" s="18">
        <v>2092</v>
      </c>
      <c r="E48" s="18">
        <v>1084</v>
      </c>
      <c r="F48" s="18">
        <v>1008</v>
      </c>
      <c r="G48" s="25">
        <v>973</v>
      </c>
      <c r="H48" s="25">
        <v>2187</v>
      </c>
      <c r="I48" s="25">
        <v>1135</v>
      </c>
      <c r="J48" s="25">
        <v>1052</v>
      </c>
      <c r="K48" s="20">
        <f>テーブル13[[#This Row],[列6]]-テーブル13[[#This Row],[列2]]</f>
        <v>89</v>
      </c>
      <c r="L48" s="20">
        <f>テーブル13[[#This Row],[列7]]-テーブル13[[#This Row],[列3]]</f>
        <v>95</v>
      </c>
      <c r="M48" s="20">
        <f>テーブル13[[#This Row],[列8]]-テーブル13[[#This Row],[列4]]</f>
        <v>51</v>
      </c>
      <c r="N48" s="20">
        <f>テーブル13[[#This Row],[列9]]-テーブル13[[#This Row],[列5]]</f>
        <v>44</v>
      </c>
      <c r="O48" s="21">
        <f>テーブル13[[#This Row],[列10]]/テーブル13[[#This Row],[列6]]*100</f>
        <v>9.1469681397738949</v>
      </c>
      <c r="P48" s="21">
        <f>テーブル13[[#This Row],[列11]]/テーブル13[[#This Row],[列7]]*100</f>
        <v>4.3438500228623687</v>
      </c>
      <c r="Q48" s="21">
        <f>テーブル13[[#This Row],[列12]]/テーブル13[[#This Row],[列8]]*100</f>
        <v>4.4933920704845818</v>
      </c>
      <c r="R48" s="21">
        <f>テーブル13[[#This Row],[列13]]/テーブル13[[#This Row],[列9]]*100</f>
        <v>4.1825095057034218</v>
      </c>
      <c r="S48" s="24">
        <f>テーブル13[[#This Row],[列7]]/テーブル13[[#This Row],[列6]]</f>
        <v>2.2476875642343268</v>
      </c>
      <c r="U48" s="54">
        <f t="shared" ca="1" si="2"/>
        <v>973.00395119370341</v>
      </c>
    </row>
    <row r="49" spans="1:21" ht="17.25" customHeight="1" x14ac:dyDescent="0.4">
      <c r="A49" s="17" t="s">
        <v>189</v>
      </c>
      <c r="B49" s="17" t="s">
        <v>175</v>
      </c>
      <c r="C49" s="18">
        <v>1151</v>
      </c>
      <c r="D49" s="18">
        <v>2789</v>
      </c>
      <c r="E49" s="18">
        <v>1386</v>
      </c>
      <c r="F49" s="18">
        <v>1403</v>
      </c>
      <c r="G49" s="25">
        <v>1147</v>
      </c>
      <c r="H49" s="25">
        <v>2707</v>
      </c>
      <c r="I49" s="25">
        <v>1346</v>
      </c>
      <c r="J49" s="25">
        <v>1361</v>
      </c>
      <c r="K49" s="20">
        <f>テーブル13[[#This Row],[列6]]-テーブル13[[#This Row],[列2]]</f>
        <v>-4</v>
      </c>
      <c r="L49" s="20">
        <f>テーブル13[[#This Row],[列7]]-テーブル13[[#This Row],[列3]]</f>
        <v>-82</v>
      </c>
      <c r="M49" s="20">
        <f>テーブル13[[#This Row],[列8]]-テーブル13[[#This Row],[列4]]</f>
        <v>-40</v>
      </c>
      <c r="N49" s="20">
        <f>テーブル13[[#This Row],[列9]]-テーブル13[[#This Row],[列5]]</f>
        <v>-42</v>
      </c>
      <c r="O49" s="21">
        <f>テーブル13[[#This Row],[列10]]/テーブル13[[#This Row],[列6]]*100</f>
        <v>-0.34873583260680036</v>
      </c>
      <c r="P49" s="21">
        <f>テーブル13[[#This Row],[列11]]/テーブル13[[#This Row],[列7]]*100</f>
        <v>-3.029183598079054</v>
      </c>
      <c r="Q49" s="21">
        <f>テーブル13[[#This Row],[列12]]/テーブル13[[#This Row],[列8]]*100</f>
        <v>-2.9717682020802374</v>
      </c>
      <c r="R49" s="21">
        <f>テーブル13[[#This Row],[列13]]/テーブル13[[#This Row],[列9]]*100</f>
        <v>-3.0859662013225568</v>
      </c>
      <c r="S49" s="24">
        <f>テーブル13[[#This Row],[列7]]/テーブル13[[#This Row],[列6]]</f>
        <v>2.3600697471665213</v>
      </c>
      <c r="U49" s="54">
        <f t="shared" ca="1" si="2"/>
        <v>1147.0040625219867</v>
      </c>
    </row>
    <row r="50" spans="1:21" ht="17.25" customHeight="1" x14ac:dyDescent="0.4">
      <c r="A50" s="17" t="s">
        <v>190</v>
      </c>
      <c r="B50" s="17" t="s">
        <v>135</v>
      </c>
      <c r="C50" s="18">
        <v>152</v>
      </c>
      <c r="D50" s="18">
        <v>484</v>
      </c>
      <c r="E50" s="18">
        <v>238</v>
      </c>
      <c r="F50" s="18">
        <v>246</v>
      </c>
      <c r="G50" s="25">
        <v>170</v>
      </c>
      <c r="H50" s="25">
        <v>502</v>
      </c>
      <c r="I50" s="25">
        <v>258</v>
      </c>
      <c r="J50" s="25">
        <v>244</v>
      </c>
      <c r="K50" s="20">
        <f>テーブル13[[#This Row],[列6]]-テーブル13[[#This Row],[列2]]</f>
        <v>18</v>
      </c>
      <c r="L50" s="20">
        <f>テーブル13[[#This Row],[列7]]-テーブル13[[#This Row],[列3]]</f>
        <v>18</v>
      </c>
      <c r="M50" s="20">
        <f>テーブル13[[#This Row],[列8]]-テーブル13[[#This Row],[列4]]</f>
        <v>20</v>
      </c>
      <c r="N50" s="20">
        <f>テーブル13[[#This Row],[列9]]-テーブル13[[#This Row],[列5]]</f>
        <v>-2</v>
      </c>
      <c r="O50" s="21">
        <f>テーブル13[[#This Row],[列10]]/テーブル13[[#This Row],[列6]]*100</f>
        <v>10.588235294117647</v>
      </c>
      <c r="P50" s="21">
        <f>テーブル13[[#This Row],[列11]]/テーブル13[[#This Row],[列7]]*100</f>
        <v>3.5856573705179287</v>
      </c>
      <c r="Q50" s="21">
        <f>テーブル13[[#This Row],[列12]]/テーブル13[[#This Row],[列8]]*100</f>
        <v>7.7519379844961236</v>
      </c>
      <c r="R50" s="21">
        <f>テーブル13[[#This Row],[列13]]/テーブル13[[#This Row],[列9]]*100</f>
        <v>-0.81967213114754101</v>
      </c>
      <c r="S50" s="24">
        <f>テーブル13[[#This Row],[列7]]/テーブル13[[#This Row],[列6]]</f>
        <v>2.9529411764705884</v>
      </c>
      <c r="U50" s="54">
        <f t="shared" ca="1" si="2"/>
        <v>170.00083176374662</v>
      </c>
    </row>
    <row r="51" spans="1:21" ht="17.25" customHeight="1" x14ac:dyDescent="0.4">
      <c r="A51" s="17" t="s">
        <v>190</v>
      </c>
      <c r="B51" s="17" t="s">
        <v>147</v>
      </c>
      <c r="C51" s="18">
        <v>133</v>
      </c>
      <c r="D51" s="18">
        <v>413</v>
      </c>
      <c r="E51" s="18">
        <v>202</v>
      </c>
      <c r="F51" s="18">
        <v>211</v>
      </c>
      <c r="G51" s="25">
        <v>151</v>
      </c>
      <c r="H51" s="25">
        <v>439</v>
      </c>
      <c r="I51" s="25">
        <v>213</v>
      </c>
      <c r="J51" s="25">
        <v>226</v>
      </c>
      <c r="K51" s="20">
        <f>テーブル13[[#This Row],[列6]]-テーブル13[[#This Row],[列2]]</f>
        <v>18</v>
      </c>
      <c r="L51" s="20">
        <f>テーブル13[[#This Row],[列7]]-テーブル13[[#This Row],[列3]]</f>
        <v>26</v>
      </c>
      <c r="M51" s="20">
        <f>テーブル13[[#This Row],[列8]]-テーブル13[[#This Row],[列4]]</f>
        <v>11</v>
      </c>
      <c r="N51" s="20">
        <f>テーブル13[[#This Row],[列9]]-テーブル13[[#This Row],[列5]]</f>
        <v>15</v>
      </c>
      <c r="O51" s="21">
        <f>テーブル13[[#This Row],[列10]]/テーブル13[[#This Row],[列6]]*100</f>
        <v>11.920529801324504</v>
      </c>
      <c r="P51" s="21">
        <f>テーブル13[[#This Row],[列11]]/テーブル13[[#This Row],[列7]]*100</f>
        <v>5.9225512528473807</v>
      </c>
      <c r="Q51" s="21">
        <f>テーブル13[[#This Row],[列12]]/テーブル13[[#This Row],[列8]]*100</f>
        <v>5.164319248826291</v>
      </c>
      <c r="R51" s="21">
        <f>テーブル13[[#This Row],[列13]]/テーブル13[[#This Row],[列9]]*100</f>
        <v>6.6371681415929213</v>
      </c>
      <c r="S51" s="24">
        <f>テーブル13[[#This Row],[列7]]/テーブル13[[#This Row],[列6]]</f>
        <v>2.9072847682119205</v>
      </c>
      <c r="U51" s="54">
        <f t="shared" ca="1" si="2"/>
        <v>151.0012979380345</v>
      </c>
    </row>
    <row r="52" spans="1:21" ht="17.25" customHeight="1" x14ac:dyDescent="0.4">
      <c r="A52" s="17" t="s">
        <v>190</v>
      </c>
      <c r="B52" s="17" t="s">
        <v>174</v>
      </c>
      <c r="C52" s="18">
        <v>284</v>
      </c>
      <c r="D52" s="18">
        <v>928</v>
      </c>
      <c r="E52" s="18">
        <v>426</v>
      </c>
      <c r="F52" s="18">
        <v>502</v>
      </c>
      <c r="G52" s="25">
        <v>272</v>
      </c>
      <c r="H52" s="25">
        <v>815</v>
      </c>
      <c r="I52" s="25">
        <v>375</v>
      </c>
      <c r="J52" s="25">
        <v>440</v>
      </c>
      <c r="K52" s="20">
        <f>テーブル13[[#This Row],[列6]]-テーブル13[[#This Row],[列2]]</f>
        <v>-12</v>
      </c>
      <c r="L52" s="20">
        <f>テーブル13[[#This Row],[列7]]-テーブル13[[#This Row],[列3]]</f>
        <v>-113</v>
      </c>
      <c r="M52" s="20">
        <f>テーブル13[[#This Row],[列8]]-テーブル13[[#This Row],[列4]]</f>
        <v>-51</v>
      </c>
      <c r="N52" s="20">
        <f>テーブル13[[#This Row],[列9]]-テーブル13[[#This Row],[列5]]</f>
        <v>-62</v>
      </c>
      <c r="O52" s="21">
        <f>テーブル13[[#This Row],[列10]]/テーブル13[[#This Row],[列6]]*100</f>
        <v>-4.4117647058823533</v>
      </c>
      <c r="P52" s="21">
        <f>テーブル13[[#This Row],[列11]]/テーブル13[[#This Row],[列7]]*100</f>
        <v>-13.865030674846626</v>
      </c>
      <c r="Q52" s="21">
        <f>テーブル13[[#This Row],[列12]]/テーブル13[[#This Row],[列8]]*100</f>
        <v>-13.600000000000001</v>
      </c>
      <c r="R52" s="21">
        <f>テーブル13[[#This Row],[列13]]/テーブル13[[#This Row],[列9]]*100</f>
        <v>-14.09090909090909</v>
      </c>
      <c r="S52" s="24">
        <f>テーブル13[[#This Row],[列7]]/テーブル13[[#This Row],[列6]]</f>
        <v>2.9963235294117645</v>
      </c>
      <c r="U52" s="54">
        <f t="shared" ca="1" si="2"/>
        <v>272.00251305841891</v>
      </c>
    </row>
    <row r="53" spans="1:21" ht="17.25" customHeight="1" x14ac:dyDescent="0.4">
      <c r="A53" s="17" t="s">
        <v>190</v>
      </c>
      <c r="B53" s="17" t="s">
        <v>148</v>
      </c>
      <c r="C53" s="18">
        <v>447</v>
      </c>
      <c r="D53" s="18">
        <v>1341</v>
      </c>
      <c r="E53" s="18">
        <v>671</v>
      </c>
      <c r="F53" s="18">
        <v>670</v>
      </c>
      <c r="G53" s="25">
        <v>462</v>
      </c>
      <c r="H53" s="25">
        <v>1339</v>
      </c>
      <c r="I53" s="25">
        <v>655</v>
      </c>
      <c r="J53" s="25">
        <v>684</v>
      </c>
      <c r="K53" s="20">
        <f>テーブル13[[#This Row],[列6]]-テーブル13[[#This Row],[列2]]</f>
        <v>15</v>
      </c>
      <c r="L53" s="20">
        <f>テーブル13[[#This Row],[列7]]-テーブル13[[#This Row],[列3]]</f>
        <v>-2</v>
      </c>
      <c r="M53" s="20">
        <f>テーブル13[[#This Row],[列8]]-テーブル13[[#This Row],[列4]]</f>
        <v>-16</v>
      </c>
      <c r="N53" s="20">
        <f>テーブル13[[#This Row],[列9]]-テーブル13[[#This Row],[列5]]</f>
        <v>14</v>
      </c>
      <c r="O53" s="21">
        <f>テーブル13[[#This Row],[列10]]/テーブル13[[#This Row],[列6]]*100</f>
        <v>3.2467532467532463</v>
      </c>
      <c r="P53" s="21">
        <f>テーブル13[[#This Row],[列11]]/テーブル13[[#This Row],[列7]]*100</f>
        <v>-0.14936519790888725</v>
      </c>
      <c r="Q53" s="21">
        <f>テーブル13[[#This Row],[列12]]/テーブル13[[#This Row],[列8]]*100</f>
        <v>-2.4427480916030535</v>
      </c>
      <c r="R53" s="21">
        <f>テーブル13[[#This Row],[列13]]/テーブル13[[#This Row],[列9]]*100</f>
        <v>2.0467836257309941</v>
      </c>
      <c r="S53" s="24">
        <f>テーブル13[[#This Row],[列7]]/テーブル13[[#This Row],[列6]]</f>
        <v>2.8982683982683981</v>
      </c>
      <c r="U53" s="54">
        <f t="shared" ca="1" si="2"/>
        <v>462.00238002237177</v>
      </c>
    </row>
    <row r="54" spans="1:21" ht="17.25" customHeight="1" x14ac:dyDescent="0.4">
      <c r="A54" s="17" t="s">
        <v>190</v>
      </c>
      <c r="B54" s="17" t="s">
        <v>171</v>
      </c>
      <c r="C54" s="18">
        <v>208</v>
      </c>
      <c r="D54" s="18">
        <v>702</v>
      </c>
      <c r="E54" s="18">
        <v>342</v>
      </c>
      <c r="F54" s="18">
        <v>360</v>
      </c>
      <c r="G54" s="25">
        <v>203</v>
      </c>
      <c r="H54" s="25">
        <v>640</v>
      </c>
      <c r="I54" s="25">
        <v>317</v>
      </c>
      <c r="J54" s="25">
        <v>323</v>
      </c>
      <c r="K54" s="20">
        <f>テーブル13[[#This Row],[列6]]-テーブル13[[#This Row],[列2]]</f>
        <v>-5</v>
      </c>
      <c r="L54" s="20">
        <f>テーブル13[[#This Row],[列7]]-テーブル13[[#This Row],[列3]]</f>
        <v>-62</v>
      </c>
      <c r="M54" s="20">
        <f>テーブル13[[#This Row],[列8]]-テーブル13[[#This Row],[列4]]</f>
        <v>-25</v>
      </c>
      <c r="N54" s="20">
        <f>テーブル13[[#This Row],[列9]]-テーブル13[[#This Row],[列5]]</f>
        <v>-37</v>
      </c>
      <c r="O54" s="21">
        <f>テーブル13[[#This Row],[列10]]/テーブル13[[#This Row],[列6]]*100</f>
        <v>-2.4630541871921183</v>
      </c>
      <c r="P54" s="21">
        <f>テーブル13[[#This Row],[列11]]/テーブル13[[#This Row],[列7]]*100</f>
        <v>-9.6875</v>
      </c>
      <c r="Q54" s="21">
        <f>テーブル13[[#This Row],[列12]]/テーブル13[[#This Row],[列8]]*100</f>
        <v>-7.8864353312302837</v>
      </c>
      <c r="R54" s="21">
        <f>テーブル13[[#This Row],[列13]]/テーブル13[[#This Row],[列9]]*100</f>
        <v>-11.455108359133128</v>
      </c>
      <c r="S54" s="24">
        <f>テーブル13[[#This Row],[列7]]/テーブル13[[#This Row],[列6]]</f>
        <v>3.1527093596059115</v>
      </c>
      <c r="U54" s="54">
        <f t="shared" ca="1" si="2"/>
        <v>203.00077775235698</v>
      </c>
    </row>
    <row r="55" spans="1:21" ht="17.25" customHeight="1" x14ac:dyDescent="0.4">
      <c r="A55" s="17" t="s">
        <v>190</v>
      </c>
      <c r="B55" s="17" t="s">
        <v>146</v>
      </c>
      <c r="C55" s="18">
        <v>233</v>
      </c>
      <c r="D55" s="18">
        <v>722</v>
      </c>
      <c r="E55" s="18">
        <v>342</v>
      </c>
      <c r="F55" s="18">
        <v>380</v>
      </c>
      <c r="G55" s="25">
        <v>254</v>
      </c>
      <c r="H55" s="25">
        <v>716</v>
      </c>
      <c r="I55" s="25">
        <v>342</v>
      </c>
      <c r="J55" s="25">
        <v>374</v>
      </c>
      <c r="K55" s="20">
        <f>テーブル13[[#This Row],[列6]]-テーブル13[[#This Row],[列2]]</f>
        <v>21</v>
      </c>
      <c r="L55" s="20">
        <f>テーブル13[[#This Row],[列7]]-テーブル13[[#This Row],[列3]]</f>
        <v>-6</v>
      </c>
      <c r="M55" s="20">
        <f>テーブル13[[#This Row],[列8]]-テーブル13[[#This Row],[列4]]</f>
        <v>0</v>
      </c>
      <c r="N55" s="20">
        <f>テーブル13[[#This Row],[列9]]-テーブル13[[#This Row],[列5]]</f>
        <v>-6</v>
      </c>
      <c r="O55" s="21">
        <f>テーブル13[[#This Row],[列10]]/テーブル13[[#This Row],[列6]]*100</f>
        <v>8.2677165354330722</v>
      </c>
      <c r="P55" s="21">
        <f>テーブル13[[#This Row],[列11]]/テーブル13[[#This Row],[列7]]*100</f>
        <v>-0.83798882681564246</v>
      </c>
      <c r="Q55" s="21">
        <f>テーブル13[[#This Row],[列12]]/テーブル13[[#This Row],[列8]]*100</f>
        <v>0</v>
      </c>
      <c r="R55" s="21">
        <f>テーブル13[[#This Row],[列13]]/テーブル13[[#This Row],[列9]]*100</f>
        <v>-1.6042780748663104</v>
      </c>
      <c r="S55" s="24">
        <f>テーブル13[[#This Row],[列7]]/テーブル13[[#This Row],[列6]]</f>
        <v>2.8188976377952755</v>
      </c>
      <c r="U55" s="54">
        <f t="shared" ca="1" si="2"/>
        <v>254.00014185859715</v>
      </c>
    </row>
    <row r="56" spans="1:21" ht="17.25" customHeight="1" x14ac:dyDescent="0.4">
      <c r="A56" s="17" t="s">
        <v>190</v>
      </c>
      <c r="B56" s="17" t="s">
        <v>166</v>
      </c>
      <c r="C56" s="18">
        <v>123</v>
      </c>
      <c r="D56" s="18">
        <v>322</v>
      </c>
      <c r="E56" s="18">
        <v>162</v>
      </c>
      <c r="F56" s="18">
        <v>160</v>
      </c>
      <c r="G56" s="25">
        <v>119</v>
      </c>
      <c r="H56" s="25">
        <v>275</v>
      </c>
      <c r="I56" s="25">
        <v>133</v>
      </c>
      <c r="J56" s="25">
        <v>142</v>
      </c>
      <c r="K56" s="20">
        <f>テーブル13[[#This Row],[列6]]-テーブル13[[#This Row],[列2]]</f>
        <v>-4</v>
      </c>
      <c r="L56" s="20">
        <f>テーブル13[[#This Row],[列7]]-テーブル13[[#This Row],[列3]]</f>
        <v>-47</v>
      </c>
      <c r="M56" s="20">
        <f>テーブル13[[#This Row],[列8]]-テーブル13[[#This Row],[列4]]</f>
        <v>-29</v>
      </c>
      <c r="N56" s="20">
        <f>テーブル13[[#This Row],[列9]]-テーブル13[[#This Row],[列5]]</f>
        <v>-18</v>
      </c>
      <c r="O56" s="21">
        <f>テーブル13[[#This Row],[列10]]/テーブル13[[#This Row],[列6]]*100</f>
        <v>-3.3613445378151261</v>
      </c>
      <c r="P56" s="21">
        <f>テーブル13[[#This Row],[列11]]/テーブル13[[#This Row],[列7]]*100</f>
        <v>-17.09090909090909</v>
      </c>
      <c r="Q56" s="21">
        <f>テーブル13[[#This Row],[列12]]/テーブル13[[#This Row],[列8]]*100</f>
        <v>-21.804511278195488</v>
      </c>
      <c r="R56" s="21">
        <f>テーブル13[[#This Row],[列13]]/テーブル13[[#This Row],[列9]]*100</f>
        <v>-12.676056338028168</v>
      </c>
      <c r="S56" s="24">
        <f>テーブル13[[#This Row],[列7]]/テーブル13[[#This Row],[列6]]</f>
        <v>2.3109243697478989</v>
      </c>
      <c r="U56" s="54">
        <f t="shared" ca="1" si="2"/>
        <v>119.00009642212702</v>
      </c>
    </row>
    <row r="57" spans="1:21" ht="17.25" customHeight="1" x14ac:dyDescent="0.4">
      <c r="A57" s="17" t="s">
        <v>191</v>
      </c>
      <c r="B57" s="17" t="s">
        <v>129</v>
      </c>
      <c r="C57" s="18">
        <v>673</v>
      </c>
      <c r="D57" s="18">
        <v>1939</v>
      </c>
      <c r="E57" s="18">
        <v>917</v>
      </c>
      <c r="F57" s="18">
        <v>1022</v>
      </c>
      <c r="G57" s="25">
        <v>761</v>
      </c>
      <c r="H57" s="25">
        <v>1995</v>
      </c>
      <c r="I57" s="25">
        <v>980</v>
      </c>
      <c r="J57" s="25">
        <v>1015</v>
      </c>
      <c r="K57" s="20">
        <f>テーブル13[[#This Row],[列6]]-テーブル13[[#This Row],[列2]]</f>
        <v>88</v>
      </c>
      <c r="L57" s="20">
        <f>テーブル13[[#This Row],[列7]]-テーブル13[[#This Row],[列3]]</f>
        <v>56</v>
      </c>
      <c r="M57" s="20">
        <f>テーブル13[[#This Row],[列8]]-テーブル13[[#This Row],[列4]]</f>
        <v>63</v>
      </c>
      <c r="N57" s="20">
        <f>テーブル13[[#This Row],[列9]]-テーブル13[[#This Row],[列5]]</f>
        <v>-7</v>
      </c>
      <c r="O57" s="21">
        <f>テーブル13[[#This Row],[列10]]/テーブル13[[#This Row],[列6]]*100</f>
        <v>11.563731931668856</v>
      </c>
      <c r="P57" s="21">
        <f>テーブル13[[#This Row],[列11]]/テーブル13[[#This Row],[列7]]*100</f>
        <v>2.807017543859649</v>
      </c>
      <c r="Q57" s="21">
        <f>テーブル13[[#This Row],[列12]]/テーブル13[[#This Row],[列8]]*100</f>
        <v>6.4285714285714279</v>
      </c>
      <c r="R57" s="21">
        <f>テーブル13[[#This Row],[列13]]/テーブル13[[#This Row],[列9]]*100</f>
        <v>-0.68965517241379315</v>
      </c>
      <c r="S57" s="24">
        <f>テーブル13[[#This Row],[列7]]/テーブル13[[#This Row],[列6]]</f>
        <v>2.621550591327201</v>
      </c>
      <c r="U57" s="54">
        <f t="shared" ca="1" si="2"/>
        <v>761.00544446985236</v>
      </c>
    </row>
    <row r="58" spans="1:21" ht="17.25" customHeight="1" x14ac:dyDescent="0.4">
      <c r="A58" s="17" t="s">
        <v>191</v>
      </c>
      <c r="B58" s="17" t="s">
        <v>125</v>
      </c>
      <c r="C58" s="18">
        <v>274</v>
      </c>
      <c r="D58" s="18">
        <v>768</v>
      </c>
      <c r="E58" s="18">
        <v>407</v>
      </c>
      <c r="F58" s="18">
        <v>361</v>
      </c>
      <c r="G58" s="25">
        <v>308</v>
      </c>
      <c r="H58" s="25">
        <v>854</v>
      </c>
      <c r="I58" s="25">
        <v>449</v>
      </c>
      <c r="J58" s="25">
        <v>405</v>
      </c>
      <c r="K58" s="20">
        <f>テーブル13[[#This Row],[列6]]-テーブル13[[#This Row],[列2]]</f>
        <v>34</v>
      </c>
      <c r="L58" s="20">
        <f>テーブル13[[#This Row],[列7]]-テーブル13[[#This Row],[列3]]</f>
        <v>86</v>
      </c>
      <c r="M58" s="20">
        <f>テーブル13[[#This Row],[列8]]-テーブル13[[#This Row],[列4]]</f>
        <v>42</v>
      </c>
      <c r="N58" s="20">
        <f>テーブル13[[#This Row],[列9]]-テーブル13[[#This Row],[列5]]</f>
        <v>44</v>
      </c>
      <c r="O58" s="21">
        <f>テーブル13[[#This Row],[列10]]/テーブル13[[#This Row],[列6]]*100</f>
        <v>11.038961038961039</v>
      </c>
      <c r="P58" s="21">
        <f>テーブル13[[#This Row],[列11]]/テーブル13[[#This Row],[列7]]*100</f>
        <v>10.070257611241217</v>
      </c>
      <c r="Q58" s="21">
        <f>テーブル13[[#This Row],[列12]]/テーブル13[[#This Row],[列8]]*100</f>
        <v>9.3541202672605799</v>
      </c>
      <c r="R58" s="21">
        <f>テーブル13[[#This Row],[列13]]/テーブル13[[#This Row],[列9]]*100</f>
        <v>10.864197530864198</v>
      </c>
      <c r="S58" s="24">
        <f>テーブル13[[#This Row],[列7]]/テーブル13[[#This Row],[列6]]</f>
        <v>2.7727272727272729</v>
      </c>
      <c r="U58" s="54">
        <f t="shared" ca="1" si="2"/>
        <v>308.0019089141993</v>
      </c>
    </row>
    <row r="59" spans="1:21" ht="17.25" customHeight="1" x14ac:dyDescent="0.4">
      <c r="A59" s="17" t="s">
        <v>191</v>
      </c>
      <c r="B59" s="17" t="s">
        <v>158</v>
      </c>
      <c r="C59" s="18">
        <v>204</v>
      </c>
      <c r="D59" s="18">
        <v>570</v>
      </c>
      <c r="E59" s="18">
        <v>271</v>
      </c>
      <c r="F59" s="18">
        <v>299</v>
      </c>
      <c r="G59" s="25">
        <v>203</v>
      </c>
      <c r="H59" s="25">
        <v>543</v>
      </c>
      <c r="I59" s="25">
        <v>258</v>
      </c>
      <c r="J59" s="25">
        <v>285</v>
      </c>
      <c r="K59" s="20">
        <f>テーブル13[[#This Row],[列6]]-テーブル13[[#This Row],[列2]]</f>
        <v>-1</v>
      </c>
      <c r="L59" s="20">
        <f>テーブル13[[#This Row],[列7]]-テーブル13[[#This Row],[列3]]</f>
        <v>-27</v>
      </c>
      <c r="M59" s="20">
        <f>テーブル13[[#This Row],[列8]]-テーブル13[[#This Row],[列4]]</f>
        <v>-13</v>
      </c>
      <c r="N59" s="20">
        <f>テーブル13[[#This Row],[列9]]-テーブル13[[#This Row],[列5]]</f>
        <v>-14</v>
      </c>
      <c r="O59" s="21">
        <f>テーブル13[[#This Row],[列10]]/テーブル13[[#This Row],[列6]]*100</f>
        <v>-0.49261083743842365</v>
      </c>
      <c r="P59" s="21">
        <f>テーブル13[[#This Row],[列11]]/テーブル13[[#This Row],[列7]]*100</f>
        <v>-4.972375690607735</v>
      </c>
      <c r="Q59" s="21">
        <f>テーブル13[[#This Row],[列12]]/テーブル13[[#This Row],[列8]]*100</f>
        <v>-5.0387596899224807</v>
      </c>
      <c r="R59" s="21">
        <f>テーブル13[[#This Row],[列13]]/テーブル13[[#This Row],[列9]]*100</f>
        <v>-4.9122807017543861</v>
      </c>
      <c r="S59" s="24">
        <f>テーブル13[[#This Row],[列7]]/テーブル13[[#This Row],[列6]]</f>
        <v>2.6748768472906406</v>
      </c>
      <c r="U59" s="54">
        <f t="shared" ca="1" si="2"/>
        <v>203.00185156651378</v>
      </c>
    </row>
    <row r="60" spans="1:21" ht="17.25" customHeight="1" x14ac:dyDescent="0.4">
      <c r="A60" s="17" t="s">
        <v>191</v>
      </c>
      <c r="B60" s="17" t="s">
        <v>134</v>
      </c>
      <c r="C60" s="18">
        <v>254</v>
      </c>
      <c r="D60" s="18">
        <v>796</v>
      </c>
      <c r="E60" s="18">
        <v>367</v>
      </c>
      <c r="F60" s="18">
        <v>429</v>
      </c>
      <c r="G60" s="25">
        <v>256</v>
      </c>
      <c r="H60" s="25">
        <v>766</v>
      </c>
      <c r="I60" s="25">
        <v>358</v>
      </c>
      <c r="J60" s="25">
        <v>408</v>
      </c>
      <c r="K60" s="20">
        <f>テーブル13[[#This Row],[列6]]-テーブル13[[#This Row],[列2]]</f>
        <v>2</v>
      </c>
      <c r="L60" s="20">
        <f>テーブル13[[#This Row],[列7]]-テーブル13[[#This Row],[列3]]</f>
        <v>-30</v>
      </c>
      <c r="M60" s="20">
        <f>テーブル13[[#This Row],[列8]]-テーブル13[[#This Row],[列4]]</f>
        <v>-9</v>
      </c>
      <c r="N60" s="20">
        <f>テーブル13[[#This Row],[列9]]-テーブル13[[#This Row],[列5]]</f>
        <v>-21</v>
      </c>
      <c r="O60" s="21">
        <f>テーブル13[[#This Row],[列10]]/テーブル13[[#This Row],[列6]]*100</f>
        <v>0.78125</v>
      </c>
      <c r="P60" s="21">
        <f>テーブル13[[#This Row],[列11]]/テーブル13[[#This Row],[列7]]*100</f>
        <v>-3.9164490861618799</v>
      </c>
      <c r="Q60" s="21">
        <f>テーブル13[[#This Row],[列12]]/テーブル13[[#This Row],[列8]]*100</f>
        <v>-2.5139664804469275</v>
      </c>
      <c r="R60" s="21">
        <f>テーブル13[[#This Row],[列13]]/テーブル13[[#This Row],[列9]]*100</f>
        <v>-5.1470588235294112</v>
      </c>
      <c r="S60" s="24">
        <f>テーブル13[[#This Row],[列7]]/テーブル13[[#This Row],[列6]]</f>
        <v>2.9921875</v>
      </c>
      <c r="U60" s="54">
        <f t="shared" ca="1" si="2"/>
        <v>256.00067427864053</v>
      </c>
    </row>
    <row r="61" spans="1:21" ht="17.25" customHeight="1" x14ac:dyDescent="0.4">
      <c r="A61" s="17" t="s">
        <v>191</v>
      </c>
      <c r="B61" s="17" t="s">
        <v>161</v>
      </c>
      <c r="C61" s="18">
        <v>320</v>
      </c>
      <c r="D61" s="18">
        <v>872</v>
      </c>
      <c r="E61" s="18">
        <v>430</v>
      </c>
      <c r="F61" s="18">
        <v>442</v>
      </c>
      <c r="G61" s="25">
        <v>316</v>
      </c>
      <c r="H61" s="25">
        <v>837</v>
      </c>
      <c r="I61" s="25">
        <v>407</v>
      </c>
      <c r="J61" s="25">
        <v>430</v>
      </c>
      <c r="K61" s="20">
        <f>テーブル13[[#This Row],[列6]]-テーブル13[[#This Row],[列2]]</f>
        <v>-4</v>
      </c>
      <c r="L61" s="20">
        <f>テーブル13[[#This Row],[列7]]-テーブル13[[#This Row],[列3]]</f>
        <v>-35</v>
      </c>
      <c r="M61" s="20">
        <f>テーブル13[[#This Row],[列8]]-テーブル13[[#This Row],[列4]]</f>
        <v>-23</v>
      </c>
      <c r="N61" s="20">
        <f>テーブル13[[#This Row],[列9]]-テーブル13[[#This Row],[列5]]</f>
        <v>-12</v>
      </c>
      <c r="O61" s="21">
        <f>テーブル13[[#This Row],[列10]]/テーブル13[[#This Row],[列6]]*100</f>
        <v>-1.2658227848101267</v>
      </c>
      <c r="P61" s="21">
        <f>テーブル13[[#This Row],[列11]]/テーブル13[[#This Row],[列7]]*100</f>
        <v>-4.1816009557945035</v>
      </c>
      <c r="Q61" s="21">
        <f>テーブル13[[#This Row],[列12]]/テーブル13[[#This Row],[列8]]*100</f>
        <v>-5.6511056511056514</v>
      </c>
      <c r="R61" s="21">
        <f>テーブル13[[#This Row],[列13]]/テーブル13[[#This Row],[列9]]*100</f>
        <v>-2.7906976744186047</v>
      </c>
      <c r="S61" s="24">
        <f>テーブル13[[#This Row],[列7]]/テーブル13[[#This Row],[列6]]</f>
        <v>2.6487341772151898</v>
      </c>
      <c r="U61" s="54">
        <f t="shared" ca="1" si="2"/>
        <v>316.0014148515354</v>
      </c>
    </row>
    <row r="62" spans="1:21" ht="17.25" customHeight="1" x14ac:dyDescent="0.4">
      <c r="A62" s="17" t="s">
        <v>191</v>
      </c>
      <c r="B62" s="17" t="s">
        <v>162</v>
      </c>
      <c r="C62" s="18">
        <v>144</v>
      </c>
      <c r="D62" s="18">
        <v>405</v>
      </c>
      <c r="E62" s="18">
        <v>192</v>
      </c>
      <c r="F62" s="18">
        <v>213</v>
      </c>
      <c r="G62" s="25">
        <v>137</v>
      </c>
      <c r="H62" s="25">
        <v>370</v>
      </c>
      <c r="I62" s="25">
        <v>186</v>
      </c>
      <c r="J62" s="25">
        <v>184</v>
      </c>
      <c r="K62" s="20">
        <f>テーブル13[[#This Row],[列6]]-テーブル13[[#This Row],[列2]]</f>
        <v>-7</v>
      </c>
      <c r="L62" s="20">
        <f>テーブル13[[#This Row],[列7]]-テーブル13[[#This Row],[列3]]</f>
        <v>-35</v>
      </c>
      <c r="M62" s="20">
        <f>テーブル13[[#This Row],[列8]]-テーブル13[[#This Row],[列4]]</f>
        <v>-6</v>
      </c>
      <c r="N62" s="20">
        <f>テーブル13[[#This Row],[列9]]-テーブル13[[#This Row],[列5]]</f>
        <v>-29</v>
      </c>
      <c r="O62" s="21">
        <f>テーブル13[[#This Row],[列10]]/テーブル13[[#This Row],[列6]]*100</f>
        <v>-5.1094890510948909</v>
      </c>
      <c r="P62" s="21">
        <f>テーブル13[[#This Row],[列11]]/テーブル13[[#This Row],[列7]]*100</f>
        <v>-9.4594594594594597</v>
      </c>
      <c r="Q62" s="21">
        <f>テーブル13[[#This Row],[列12]]/テーブル13[[#This Row],[列8]]*100</f>
        <v>-3.225806451612903</v>
      </c>
      <c r="R62" s="21">
        <f>テーブル13[[#This Row],[列13]]/テーブル13[[#This Row],[列9]]*100</f>
        <v>-15.760869565217392</v>
      </c>
      <c r="S62" s="24">
        <f>テーブル13[[#This Row],[列7]]/テーブル13[[#This Row],[列6]]</f>
        <v>2.7007299270072993</v>
      </c>
      <c r="U62" s="54">
        <f t="shared" ca="1" si="2"/>
        <v>137.00075239397748</v>
      </c>
    </row>
    <row r="63" spans="1:21" ht="17.25" customHeight="1" x14ac:dyDescent="0.4">
      <c r="A63" s="17" t="s">
        <v>191</v>
      </c>
      <c r="B63" s="17" t="s">
        <v>154</v>
      </c>
      <c r="C63" s="18">
        <v>50</v>
      </c>
      <c r="D63" s="18">
        <v>142</v>
      </c>
      <c r="E63" s="18">
        <v>71</v>
      </c>
      <c r="F63" s="18">
        <v>71</v>
      </c>
      <c r="G63" s="25">
        <v>46</v>
      </c>
      <c r="H63" s="25">
        <v>124</v>
      </c>
      <c r="I63" s="25">
        <v>66</v>
      </c>
      <c r="J63" s="25">
        <v>58</v>
      </c>
      <c r="K63" s="20">
        <f>テーブル13[[#This Row],[列6]]-テーブル13[[#This Row],[列2]]</f>
        <v>-4</v>
      </c>
      <c r="L63" s="20">
        <f>テーブル13[[#This Row],[列7]]-テーブル13[[#This Row],[列3]]</f>
        <v>-18</v>
      </c>
      <c r="M63" s="20">
        <f>テーブル13[[#This Row],[列8]]-テーブル13[[#This Row],[列4]]</f>
        <v>-5</v>
      </c>
      <c r="N63" s="20">
        <f>テーブル13[[#This Row],[列9]]-テーブル13[[#This Row],[列5]]</f>
        <v>-13</v>
      </c>
      <c r="O63" s="21">
        <f>テーブル13[[#This Row],[列10]]/テーブル13[[#This Row],[列6]]*100</f>
        <v>-8.695652173913043</v>
      </c>
      <c r="P63" s="21">
        <f>テーブル13[[#This Row],[列11]]/テーブル13[[#This Row],[列7]]*100</f>
        <v>-14.516129032258066</v>
      </c>
      <c r="Q63" s="21">
        <f>テーブル13[[#This Row],[列12]]/テーブル13[[#This Row],[列8]]*100</f>
        <v>-7.5757575757575761</v>
      </c>
      <c r="R63" s="21">
        <f>テーブル13[[#This Row],[列13]]/テーブル13[[#This Row],[列9]]*100</f>
        <v>-22.413793103448278</v>
      </c>
      <c r="S63" s="24">
        <f>テーブル13[[#This Row],[列7]]/テーブル13[[#This Row],[列6]]</f>
        <v>2.6956521739130435</v>
      </c>
      <c r="U63" s="54">
        <f t="shared" ca="1" si="2"/>
        <v>46.000374696479483</v>
      </c>
    </row>
    <row r="64" spans="1:21" ht="17.25" customHeight="1" x14ac:dyDescent="0.4">
      <c r="A64" s="17" t="s">
        <v>191</v>
      </c>
      <c r="B64" s="17" t="s">
        <v>153</v>
      </c>
      <c r="C64" s="18">
        <v>59</v>
      </c>
      <c r="D64" s="18">
        <v>126</v>
      </c>
      <c r="E64" s="18">
        <v>54</v>
      </c>
      <c r="F64" s="18">
        <v>72</v>
      </c>
      <c r="G64" s="25">
        <v>59</v>
      </c>
      <c r="H64" s="25">
        <v>109</v>
      </c>
      <c r="I64" s="25">
        <v>43</v>
      </c>
      <c r="J64" s="25">
        <v>66</v>
      </c>
      <c r="K64" s="20">
        <f>テーブル13[[#This Row],[列6]]-テーブル13[[#This Row],[列2]]</f>
        <v>0</v>
      </c>
      <c r="L64" s="20">
        <f>テーブル13[[#This Row],[列7]]-テーブル13[[#This Row],[列3]]</f>
        <v>-17</v>
      </c>
      <c r="M64" s="20">
        <f>テーブル13[[#This Row],[列8]]-テーブル13[[#This Row],[列4]]</f>
        <v>-11</v>
      </c>
      <c r="N64" s="20">
        <f>テーブル13[[#This Row],[列9]]-テーブル13[[#This Row],[列5]]</f>
        <v>-6</v>
      </c>
      <c r="O64" s="21">
        <f>テーブル13[[#This Row],[列10]]/テーブル13[[#This Row],[列6]]*100</f>
        <v>0</v>
      </c>
      <c r="P64" s="21">
        <f>テーブル13[[#This Row],[列11]]/テーブル13[[#This Row],[列7]]*100</f>
        <v>-15.596330275229359</v>
      </c>
      <c r="Q64" s="21">
        <f>テーブル13[[#This Row],[列12]]/テーブル13[[#This Row],[列8]]*100</f>
        <v>-25.581395348837212</v>
      </c>
      <c r="R64" s="21">
        <f>テーブル13[[#This Row],[列13]]/テーブル13[[#This Row],[列9]]*100</f>
        <v>-9.0909090909090917</v>
      </c>
      <c r="S64" s="24">
        <f>テーブル13[[#This Row],[列7]]/テーブル13[[#This Row],[列6]]</f>
        <v>1.847457627118644</v>
      </c>
      <c r="U64" s="54">
        <f t="shared" ca="1" si="2"/>
        <v>59.000353843173109</v>
      </c>
    </row>
    <row r="65" spans="1:21" ht="17.25" customHeight="1" x14ac:dyDescent="0.4">
      <c r="A65" s="17" t="s">
        <v>192</v>
      </c>
      <c r="B65" s="17" t="s">
        <v>144</v>
      </c>
      <c r="C65" s="18">
        <v>136</v>
      </c>
      <c r="D65" s="18">
        <v>406</v>
      </c>
      <c r="E65" s="18">
        <v>187</v>
      </c>
      <c r="F65" s="18">
        <v>219</v>
      </c>
      <c r="G65" s="25">
        <v>146</v>
      </c>
      <c r="H65" s="25">
        <v>401</v>
      </c>
      <c r="I65" s="25">
        <v>185</v>
      </c>
      <c r="J65" s="25">
        <v>216</v>
      </c>
      <c r="K65" s="20">
        <f>テーブル13[[#This Row],[列6]]-テーブル13[[#This Row],[列2]]</f>
        <v>10</v>
      </c>
      <c r="L65" s="20">
        <f>テーブル13[[#This Row],[列7]]-テーブル13[[#This Row],[列3]]</f>
        <v>-5</v>
      </c>
      <c r="M65" s="20">
        <f>テーブル13[[#This Row],[列8]]-テーブル13[[#This Row],[列4]]</f>
        <v>-2</v>
      </c>
      <c r="N65" s="20">
        <f>テーブル13[[#This Row],[列9]]-テーブル13[[#This Row],[列5]]</f>
        <v>-3</v>
      </c>
      <c r="O65" s="21">
        <f>テーブル13[[#This Row],[列10]]/テーブル13[[#This Row],[列6]]*100</f>
        <v>6.8493150684931505</v>
      </c>
      <c r="P65" s="21">
        <f>テーブル13[[#This Row],[列11]]/テーブル13[[#This Row],[列7]]*100</f>
        <v>-1.2468827930174564</v>
      </c>
      <c r="Q65" s="21">
        <f>テーブル13[[#This Row],[列12]]/テーブル13[[#This Row],[列8]]*100</f>
        <v>-1.0810810810810811</v>
      </c>
      <c r="R65" s="21">
        <f>テーブル13[[#This Row],[列13]]/テーブル13[[#This Row],[列9]]*100</f>
        <v>-1.3888888888888888</v>
      </c>
      <c r="S65" s="24">
        <f>テーブル13[[#This Row],[列7]]/テーブル13[[#This Row],[列6]]</f>
        <v>2.7465753424657535</v>
      </c>
      <c r="U65" s="54">
        <f t="shared" ca="1" si="2"/>
        <v>146.00004004452722</v>
      </c>
    </row>
    <row r="66" spans="1:21" ht="17.25" customHeight="1" x14ac:dyDescent="0.4">
      <c r="A66" s="17" t="s">
        <v>192</v>
      </c>
      <c r="B66" s="17" t="s">
        <v>167</v>
      </c>
      <c r="C66" s="18">
        <v>73</v>
      </c>
      <c r="D66" s="18">
        <v>211</v>
      </c>
      <c r="E66" s="18">
        <v>107</v>
      </c>
      <c r="F66" s="18">
        <v>104</v>
      </c>
      <c r="G66" s="25">
        <v>76</v>
      </c>
      <c r="H66" s="25">
        <v>194</v>
      </c>
      <c r="I66" s="25">
        <v>94</v>
      </c>
      <c r="J66" s="25">
        <v>100</v>
      </c>
      <c r="K66" s="20">
        <f>テーブル13[[#This Row],[列6]]-テーブル13[[#This Row],[列2]]</f>
        <v>3</v>
      </c>
      <c r="L66" s="20">
        <f>テーブル13[[#This Row],[列7]]-テーブル13[[#This Row],[列3]]</f>
        <v>-17</v>
      </c>
      <c r="M66" s="20">
        <f>テーブル13[[#This Row],[列8]]-テーブル13[[#This Row],[列4]]</f>
        <v>-13</v>
      </c>
      <c r="N66" s="20">
        <f>テーブル13[[#This Row],[列9]]-テーブル13[[#This Row],[列5]]</f>
        <v>-4</v>
      </c>
      <c r="O66" s="21">
        <f>テーブル13[[#This Row],[列10]]/テーブル13[[#This Row],[列6]]*100</f>
        <v>3.9473684210526314</v>
      </c>
      <c r="P66" s="21">
        <f>テーブル13[[#This Row],[列11]]/テーブル13[[#This Row],[列7]]*100</f>
        <v>-8.7628865979381434</v>
      </c>
      <c r="Q66" s="21">
        <f>テーブル13[[#This Row],[列12]]/テーブル13[[#This Row],[列8]]*100</f>
        <v>-13.829787234042554</v>
      </c>
      <c r="R66" s="21">
        <f>テーブル13[[#This Row],[列13]]/テーブル13[[#This Row],[列9]]*100</f>
        <v>-4</v>
      </c>
      <c r="S66" s="24">
        <f>テーブル13[[#This Row],[列7]]/テーブル13[[#This Row],[列6]]</f>
        <v>2.5526315789473686</v>
      </c>
      <c r="U66" s="54">
        <f t="shared" ca="1" si="2"/>
        <v>76.000028273792779</v>
      </c>
    </row>
    <row r="67" spans="1:21" ht="17.25" customHeight="1" x14ac:dyDescent="0.4">
      <c r="A67" s="17" t="s">
        <v>192</v>
      </c>
      <c r="B67" s="17" t="s">
        <v>132</v>
      </c>
      <c r="C67" s="18">
        <v>200</v>
      </c>
      <c r="D67" s="18">
        <v>554</v>
      </c>
      <c r="E67" s="18">
        <v>270</v>
      </c>
      <c r="F67" s="18">
        <v>284</v>
      </c>
      <c r="G67" s="25">
        <v>202</v>
      </c>
      <c r="H67" s="25">
        <v>548</v>
      </c>
      <c r="I67" s="25">
        <v>263</v>
      </c>
      <c r="J67" s="25">
        <v>285</v>
      </c>
      <c r="K67" s="20">
        <f>テーブル13[[#This Row],[列6]]-テーブル13[[#This Row],[列2]]</f>
        <v>2</v>
      </c>
      <c r="L67" s="20">
        <f>テーブル13[[#This Row],[列7]]-テーブル13[[#This Row],[列3]]</f>
        <v>-6</v>
      </c>
      <c r="M67" s="20">
        <f>テーブル13[[#This Row],[列8]]-テーブル13[[#This Row],[列4]]</f>
        <v>-7</v>
      </c>
      <c r="N67" s="20">
        <f>テーブル13[[#This Row],[列9]]-テーブル13[[#This Row],[列5]]</f>
        <v>1</v>
      </c>
      <c r="O67" s="21">
        <f>テーブル13[[#This Row],[列10]]/テーブル13[[#This Row],[列6]]*100</f>
        <v>0.99009900990099009</v>
      </c>
      <c r="P67" s="21">
        <f>テーブル13[[#This Row],[列11]]/テーブル13[[#This Row],[列7]]*100</f>
        <v>-1.0948905109489051</v>
      </c>
      <c r="Q67" s="21">
        <f>テーブル13[[#This Row],[列12]]/テーブル13[[#This Row],[列8]]*100</f>
        <v>-2.6615969581749046</v>
      </c>
      <c r="R67" s="21">
        <f>テーブル13[[#This Row],[列13]]/テーブル13[[#This Row],[列9]]*100</f>
        <v>0.35087719298245612</v>
      </c>
      <c r="S67" s="24">
        <f>テーブル13[[#This Row],[列7]]/テーブル13[[#This Row],[列6]]</f>
        <v>2.7128712871287131</v>
      </c>
      <c r="U67" s="54">
        <f t="shared" ca="1" si="2"/>
        <v>202.00187043487583</v>
      </c>
    </row>
    <row r="68" spans="1:21" ht="17.25" customHeight="1" x14ac:dyDescent="0.4">
      <c r="A68" s="17" t="s">
        <v>192</v>
      </c>
      <c r="B68" s="17" t="s">
        <v>155</v>
      </c>
      <c r="C68" s="18">
        <v>104</v>
      </c>
      <c r="D68" s="18">
        <v>274</v>
      </c>
      <c r="E68" s="18">
        <v>139</v>
      </c>
      <c r="F68" s="18">
        <v>135</v>
      </c>
      <c r="G68" s="25">
        <v>106</v>
      </c>
      <c r="H68" s="25">
        <v>254</v>
      </c>
      <c r="I68" s="25">
        <v>125</v>
      </c>
      <c r="J68" s="25">
        <v>129</v>
      </c>
      <c r="K68" s="20">
        <f>テーブル13[[#This Row],[列6]]-テーブル13[[#This Row],[列2]]</f>
        <v>2</v>
      </c>
      <c r="L68" s="20">
        <f>テーブル13[[#This Row],[列7]]-テーブル13[[#This Row],[列3]]</f>
        <v>-20</v>
      </c>
      <c r="M68" s="20">
        <f>テーブル13[[#This Row],[列8]]-テーブル13[[#This Row],[列4]]</f>
        <v>-14</v>
      </c>
      <c r="N68" s="20">
        <f>テーブル13[[#This Row],[列9]]-テーブル13[[#This Row],[列5]]</f>
        <v>-6</v>
      </c>
      <c r="O68" s="21">
        <f>テーブル13[[#This Row],[列10]]/テーブル13[[#This Row],[列6]]*100</f>
        <v>1.8867924528301887</v>
      </c>
      <c r="P68" s="21">
        <f>テーブル13[[#This Row],[列11]]/テーブル13[[#This Row],[列7]]*100</f>
        <v>-7.8740157480314963</v>
      </c>
      <c r="Q68" s="21">
        <f>テーブル13[[#This Row],[列12]]/テーブル13[[#This Row],[列8]]*100</f>
        <v>-11.200000000000001</v>
      </c>
      <c r="R68" s="21">
        <f>テーブル13[[#This Row],[列13]]/テーブル13[[#This Row],[列9]]*100</f>
        <v>-4.6511627906976747</v>
      </c>
      <c r="S68" s="24">
        <f>テーブル13[[#This Row],[列7]]/テーブル13[[#This Row],[列6]]</f>
        <v>2.3962264150943398</v>
      </c>
      <c r="U68" s="54">
        <f t="shared" ca="1" si="2"/>
        <v>106.00029822190633</v>
      </c>
    </row>
    <row r="69" spans="1:21" ht="17.25" customHeight="1" x14ac:dyDescent="0.4">
      <c r="A69" s="17" t="s">
        <v>192</v>
      </c>
      <c r="B69" s="17" t="s">
        <v>138</v>
      </c>
      <c r="C69" s="18">
        <v>156</v>
      </c>
      <c r="D69" s="18">
        <v>393</v>
      </c>
      <c r="E69" s="18">
        <v>199</v>
      </c>
      <c r="F69" s="18">
        <v>194</v>
      </c>
      <c r="G69" s="25">
        <v>187</v>
      </c>
      <c r="H69" s="25">
        <v>407</v>
      </c>
      <c r="I69" s="25">
        <v>206</v>
      </c>
      <c r="J69" s="25">
        <v>201</v>
      </c>
      <c r="K69" s="20">
        <f>テーブル13[[#This Row],[列6]]-テーブル13[[#This Row],[列2]]</f>
        <v>31</v>
      </c>
      <c r="L69" s="20">
        <f>テーブル13[[#This Row],[列7]]-テーブル13[[#This Row],[列3]]</f>
        <v>14</v>
      </c>
      <c r="M69" s="20">
        <f>テーブル13[[#This Row],[列8]]-テーブル13[[#This Row],[列4]]</f>
        <v>7</v>
      </c>
      <c r="N69" s="20">
        <f>テーブル13[[#This Row],[列9]]-テーブル13[[#This Row],[列5]]</f>
        <v>7</v>
      </c>
      <c r="O69" s="21">
        <f>テーブル13[[#This Row],[列10]]/テーブル13[[#This Row],[列6]]*100</f>
        <v>16.577540106951872</v>
      </c>
      <c r="P69" s="21">
        <f>テーブル13[[#This Row],[列11]]/テーブル13[[#This Row],[列7]]*100</f>
        <v>3.4398034398034398</v>
      </c>
      <c r="Q69" s="21">
        <f>テーブル13[[#This Row],[列12]]/テーブル13[[#This Row],[列8]]*100</f>
        <v>3.3980582524271843</v>
      </c>
      <c r="R69" s="21">
        <f>テーブル13[[#This Row],[列13]]/テーブル13[[#This Row],[列9]]*100</f>
        <v>3.4825870646766171</v>
      </c>
      <c r="S69" s="24">
        <f>テーブル13[[#This Row],[列7]]/テーブル13[[#This Row],[列6]]</f>
        <v>2.1764705882352939</v>
      </c>
      <c r="U69" s="54">
        <f t="shared" ca="1" si="2"/>
        <v>187.00022693096446</v>
      </c>
    </row>
    <row r="70" spans="1:21" ht="17.25" customHeight="1" x14ac:dyDescent="0.4">
      <c r="A70" s="17" t="s">
        <v>193</v>
      </c>
      <c r="B70" s="17" t="s">
        <v>176</v>
      </c>
      <c r="C70" s="18">
        <v>245</v>
      </c>
      <c r="D70" s="18">
        <v>678</v>
      </c>
      <c r="E70" s="18">
        <v>342</v>
      </c>
      <c r="F70" s="18">
        <v>336</v>
      </c>
      <c r="G70" s="25">
        <v>237</v>
      </c>
      <c r="H70" s="25">
        <v>590</v>
      </c>
      <c r="I70" s="25">
        <v>292</v>
      </c>
      <c r="J70" s="25">
        <v>298</v>
      </c>
      <c r="K70" s="20">
        <f>テーブル13[[#This Row],[列6]]-テーブル13[[#This Row],[列2]]</f>
        <v>-8</v>
      </c>
      <c r="L70" s="20">
        <f>テーブル13[[#This Row],[列7]]-テーブル13[[#This Row],[列3]]</f>
        <v>-88</v>
      </c>
      <c r="M70" s="20">
        <f>テーブル13[[#This Row],[列8]]-テーブル13[[#This Row],[列4]]</f>
        <v>-50</v>
      </c>
      <c r="N70" s="20">
        <f>テーブル13[[#This Row],[列9]]-テーブル13[[#This Row],[列5]]</f>
        <v>-38</v>
      </c>
      <c r="O70" s="21">
        <f>テーブル13[[#This Row],[列10]]/テーブル13[[#This Row],[列6]]*100</f>
        <v>-3.3755274261603372</v>
      </c>
      <c r="P70" s="21">
        <f>テーブル13[[#This Row],[列11]]/テーブル13[[#This Row],[列7]]*100</f>
        <v>-14.915254237288137</v>
      </c>
      <c r="Q70" s="21">
        <f>テーブル13[[#This Row],[列12]]/テーブル13[[#This Row],[列8]]*100</f>
        <v>-17.123287671232877</v>
      </c>
      <c r="R70" s="21">
        <f>テーブル13[[#This Row],[列13]]/テーブル13[[#This Row],[列9]]*100</f>
        <v>-12.751677852348994</v>
      </c>
      <c r="S70" s="24">
        <f>テーブル13[[#This Row],[列7]]/テーブル13[[#This Row],[列6]]</f>
        <v>2.4894514767932487</v>
      </c>
      <c r="U70" s="54">
        <f t="shared" ca="1" si="2"/>
        <v>237.00013744738823</v>
      </c>
    </row>
    <row r="71" spans="1:21" ht="17.25" customHeight="1" x14ac:dyDescent="0.4">
      <c r="A71" s="17" t="s">
        <v>193</v>
      </c>
      <c r="B71" s="17" t="s">
        <v>194</v>
      </c>
      <c r="C71" s="18">
        <v>419</v>
      </c>
      <c r="D71" s="18">
        <v>1137</v>
      </c>
      <c r="E71" s="18">
        <v>542</v>
      </c>
      <c r="F71" s="18">
        <v>595</v>
      </c>
      <c r="G71" s="25">
        <v>396</v>
      </c>
      <c r="H71" s="25">
        <v>1015</v>
      </c>
      <c r="I71" s="25">
        <v>471</v>
      </c>
      <c r="J71" s="25">
        <v>544</v>
      </c>
      <c r="K71" s="20">
        <f>テーブル13[[#This Row],[列6]]-テーブル13[[#This Row],[列2]]</f>
        <v>-23</v>
      </c>
      <c r="L71" s="20">
        <f>テーブル13[[#This Row],[列7]]-テーブル13[[#This Row],[列3]]</f>
        <v>-122</v>
      </c>
      <c r="M71" s="20">
        <f>テーブル13[[#This Row],[列8]]-テーブル13[[#This Row],[列4]]</f>
        <v>-71</v>
      </c>
      <c r="N71" s="20">
        <f>テーブル13[[#This Row],[列9]]-テーブル13[[#This Row],[列5]]</f>
        <v>-51</v>
      </c>
      <c r="O71" s="21">
        <f>テーブル13[[#This Row],[列10]]/テーブル13[[#This Row],[列6]]*100</f>
        <v>-5.808080808080808</v>
      </c>
      <c r="P71" s="21">
        <f>テーブル13[[#This Row],[列11]]/テーブル13[[#This Row],[列7]]*100</f>
        <v>-12.019704433497537</v>
      </c>
      <c r="Q71" s="21">
        <f>テーブル13[[#This Row],[列12]]/テーブル13[[#This Row],[列8]]*100</f>
        <v>-15.074309978768577</v>
      </c>
      <c r="R71" s="21">
        <f>テーブル13[[#This Row],[列13]]/テーブル13[[#This Row],[列9]]*100</f>
        <v>-9.375</v>
      </c>
      <c r="S71" s="24">
        <f>テーブル13[[#This Row],[列7]]/テーブル13[[#This Row],[列6]]</f>
        <v>2.5631313131313131</v>
      </c>
      <c r="U71" s="54">
        <f t="shared" ref="U71:U72" ca="1" si="3">SUMIFS(G71:S71,$G$1:$S$1,$U$1)*(1+RAND()/100000)</f>
        <v>396.00382639436538</v>
      </c>
    </row>
    <row r="72" spans="1:21" ht="17.25" customHeight="1" x14ac:dyDescent="0.4">
      <c r="A72" s="17" t="s">
        <v>193</v>
      </c>
      <c r="B72" s="17" t="s">
        <v>195</v>
      </c>
      <c r="C72" s="18">
        <v>290</v>
      </c>
      <c r="D72" s="18">
        <v>691</v>
      </c>
      <c r="E72" s="18">
        <v>333</v>
      </c>
      <c r="F72" s="18">
        <v>358</v>
      </c>
      <c r="G72" s="25">
        <v>277</v>
      </c>
      <c r="H72" s="25">
        <v>634</v>
      </c>
      <c r="I72" s="25">
        <v>307</v>
      </c>
      <c r="J72" s="25">
        <v>327</v>
      </c>
      <c r="K72" s="20">
        <f>テーブル13[[#This Row],[列6]]-テーブル13[[#This Row],[列2]]</f>
        <v>-13</v>
      </c>
      <c r="L72" s="20">
        <f>テーブル13[[#This Row],[列7]]-テーブル13[[#This Row],[列3]]</f>
        <v>-57</v>
      </c>
      <c r="M72" s="20">
        <f>テーブル13[[#This Row],[列8]]-テーブル13[[#This Row],[列4]]</f>
        <v>-26</v>
      </c>
      <c r="N72" s="20">
        <f>テーブル13[[#This Row],[列9]]-テーブル13[[#This Row],[列5]]</f>
        <v>-31</v>
      </c>
      <c r="O72" s="21">
        <f>テーブル13[[#This Row],[列10]]/テーブル13[[#This Row],[列6]]*100</f>
        <v>-4.6931407942238268</v>
      </c>
      <c r="P72" s="21">
        <f>テーブル13[[#This Row],[列11]]/テーブル13[[#This Row],[列7]]*100</f>
        <v>-8.9905362776025228</v>
      </c>
      <c r="Q72" s="21">
        <f>テーブル13[[#This Row],[列12]]/テーブル13[[#This Row],[列8]]*100</f>
        <v>-8.4690553745928341</v>
      </c>
      <c r="R72" s="21">
        <f>テーブル13[[#This Row],[列13]]/テーブル13[[#This Row],[列9]]*100</f>
        <v>-9.4801223241590211</v>
      </c>
      <c r="S72" s="24">
        <f>テーブル13[[#This Row],[列7]]/テーブル13[[#This Row],[列6]]</f>
        <v>2.2888086642599279</v>
      </c>
      <c r="U72" s="54">
        <f t="shared" ca="1" si="3"/>
        <v>277.00159077914094</v>
      </c>
    </row>
    <row r="73" spans="1:21" x14ac:dyDescent="0.4">
      <c r="S73" s="24" t="e">
        <f>テーブル13[[#This Row],[列7]]/テーブル13[[#This Row],[列6]]</f>
        <v>#VALUE!</v>
      </c>
    </row>
    <row r="74" spans="1:21" x14ac:dyDescent="0.4">
      <c r="S74" s="24" t="e">
        <f>テーブル13[[#This Row],[列7]]/テーブル13[[#This Row],[列6]]</f>
        <v>#VALUE!</v>
      </c>
    </row>
    <row r="75" spans="1:21" x14ac:dyDescent="0.4">
      <c r="S75" s="24" t="e">
        <f>テーブル13[[#This Row],[列7]]/テーブル13[[#This Row],[列6]]</f>
        <v>#VALUE!</v>
      </c>
    </row>
    <row r="76" spans="1:21" x14ac:dyDescent="0.4">
      <c r="S76" s="24" t="e">
        <f>テーブル13[[#This Row],[列7]]/テーブル13[[#This Row],[列6]]</f>
        <v>#VALUE!</v>
      </c>
    </row>
    <row r="77" spans="1:21" x14ac:dyDescent="0.4">
      <c r="S77" s="24" t="e">
        <f>テーブル13[[#This Row],[列7]]/テーブル13[[#This Row],[列6]]</f>
        <v>#VALUE!</v>
      </c>
    </row>
    <row r="78" spans="1:21" x14ac:dyDescent="0.4">
      <c r="S78" s="24" t="e">
        <f>テーブル13[[#This Row],[列7]]/テーブル13[[#This Row],[列6]]</f>
        <v>#VALUE!</v>
      </c>
    </row>
    <row r="79" spans="1:21" x14ac:dyDescent="0.4">
      <c r="S79" s="24" t="e">
        <f>テーブル13[[#This Row],[列7]]/テーブル13[[#This Row],[列6]]</f>
        <v>#VALUE!</v>
      </c>
    </row>
    <row r="80" spans="1:21" x14ac:dyDescent="0.4">
      <c r="S80" s="24" t="e">
        <f>テーブル13[[#This Row],[列7]]/テーブル13[[#This Row],[列6]]</f>
        <v>#VALUE!</v>
      </c>
    </row>
    <row r="81" spans="19:19" x14ac:dyDescent="0.4">
      <c r="S81" s="24" t="e">
        <f>テーブル13[[#This Row],[列7]]/テーブル13[[#This Row],[列6]]</f>
        <v>#VALUE!</v>
      </c>
    </row>
    <row r="82" spans="19:19" x14ac:dyDescent="0.4">
      <c r="S82" s="24" t="e">
        <f>テーブル13[[#This Row],[列7]]/テーブル13[[#This Row],[列6]]</f>
        <v>#VALUE!</v>
      </c>
    </row>
    <row r="83" spans="19:19" x14ac:dyDescent="0.4">
      <c r="S83" s="24" t="e">
        <f>テーブル13[[#This Row],[列7]]/テーブル13[[#This Row],[列6]]</f>
        <v>#VALUE!</v>
      </c>
    </row>
  </sheetData>
  <phoneticPr fontId="2"/>
  <conditionalFormatting sqref="K6:R72">
    <cfRule type="cellIs" dxfId="43" priority="1" operator="greaterThanOrEqual">
      <formula>0</formula>
    </cfRule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8" scale="87" orientation="portrait" r:id="rId1"/>
  <colBreaks count="1" manualBreakCount="1">
    <brk id="18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S94"/>
  <sheetViews>
    <sheetView zoomScaleNormal="100" workbookViewId="0">
      <selection activeCell="B2" sqref="B2:C2"/>
    </sheetView>
  </sheetViews>
  <sheetFormatPr defaultRowHeight="18.75" x14ac:dyDescent="0.4"/>
  <cols>
    <col min="1" max="1" width="1.625" style="2" customWidth="1"/>
    <col min="2" max="2" width="5.625" style="2" customWidth="1"/>
    <col min="3" max="3" width="10.625" style="2" customWidth="1"/>
    <col min="4" max="4" width="16.125" style="2" customWidth="1"/>
    <col min="5" max="6" width="1.625" style="2" customWidth="1"/>
    <col min="7" max="7" width="7.875" style="2" customWidth="1"/>
    <col min="8" max="8" width="11" style="2" bestFit="1" customWidth="1"/>
    <col min="9" max="9" width="15.375" style="2" customWidth="1"/>
    <col min="10" max="11" width="1.875" style="2" customWidth="1"/>
    <col min="12" max="12" width="12.125" style="2" bestFit="1" customWidth="1"/>
    <col min="13" max="13" width="8.375" style="2" customWidth="1"/>
    <col min="14" max="16" width="5.625" style="2" customWidth="1"/>
    <col min="17" max="17" width="1.625" style="2" customWidth="1"/>
    <col min="18" max="16384" width="9" style="2"/>
  </cols>
  <sheetData>
    <row r="1" spans="2:19" ht="25.5" x14ac:dyDescent="0.5">
      <c r="B1" s="28" t="s">
        <v>116</v>
      </c>
    </row>
    <row r="2" spans="2:19" ht="24" x14ac:dyDescent="0.5">
      <c r="B2" s="61" t="s">
        <v>215</v>
      </c>
      <c r="C2" s="61"/>
      <c r="D2" s="34" t="s">
        <v>203</v>
      </c>
      <c r="E2" s="4" t="s">
        <v>215</v>
      </c>
      <c r="F2" s="4" t="s">
        <v>214</v>
      </c>
      <c r="G2" s="4" t="s">
        <v>213</v>
      </c>
      <c r="H2" s="4" t="s">
        <v>212</v>
      </c>
      <c r="I2" s="4" t="s">
        <v>227</v>
      </c>
      <c r="J2" s="4" t="s">
        <v>226</v>
      </c>
      <c r="K2" s="4" t="s">
        <v>225</v>
      </c>
      <c r="L2" s="4" t="s">
        <v>224</v>
      </c>
      <c r="M2" s="4" t="s">
        <v>220</v>
      </c>
      <c r="N2" s="4" t="s">
        <v>221</v>
      </c>
      <c r="O2" s="4" t="s">
        <v>222</v>
      </c>
      <c r="P2" s="4" t="s">
        <v>223</v>
      </c>
      <c r="Q2" s="4" t="s">
        <v>208</v>
      </c>
      <c r="R2" s="4" t="s">
        <v>207</v>
      </c>
      <c r="S2" s="4"/>
    </row>
    <row r="3" spans="2:19" ht="16.5" customHeight="1" x14ac:dyDescent="0.4">
      <c r="B3" s="4" t="str">
        <f>HLOOKUP($B$2,$D$2:$R$3,2,FALSE)</f>
        <v>整数</v>
      </c>
      <c r="C3" s="4"/>
      <c r="D3" s="4"/>
      <c r="E3" s="4" t="s">
        <v>216</v>
      </c>
      <c r="F3" s="4" t="s">
        <v>216</v>
      </c>
      <c r="G3" s="4" t="s">
        <v>216</v>
      </c>
      <c r="H3" s="4" t="s">
        <v>216</v>
      </c>
      <c r="I3" s="4" t="s">
        <v>216</v>
      </c>
      <c r="J3" s="4" t="str">
        <f>I3</f>
        <v>整数</v>
      </c>
      <c r="K3" s="4" t="str">
        <f t="shared" ref="K3:L3" si="0">J3</f>
        <v>整数</v>
      </c>
      <c r="L3" s="4" t="str">
        <f t="shared" si="0"/>
        <v>整数</v>
      </c>
      <c r="M3" s="4" t="s">
        <v>209</v>
      </c>
      <c r="N3" s="4" t="s">
        <v>209</v>
      </c>
      <c r="O3" s="4" t="str">
        <f>M3</f>
        <v>小数点第2位</v>
      </c>
      <c r="P3" s="4" t="str">
        <f t="shared" ref="P3:Q3" si="1">O3</f>
        <v>小数点第2位</v>
      </c>
      <c r="Q3" s="4" t="str">
        <f t="shared" si="1"/>
        <v>小数点第2位</v>
      </c>
      <c r="R3" s="4" t="str">
        <f>Q3</f>
        <v>小数点第2位</v>
      </c>
    </row>
    <row r="4" spans="2:19" ht="16.5" hidden="1" customHeight="1" x14ac:dyDescent="0.4">
      <c r="B4" s="4" t="str">
        <f>HLOOKUP($B$2,$D$2:$R$4,3,FALSE)</f>
        <v>人</v>
      </c>
      <c r="C4" s="4"/>
      <c r="D4" s="4"/>
      <c r="E4" s="4" t="s">
        <v>217</v>
      </c>
      <c r="F4" s="4" t="s">
        <v>217</v>
      </c>
      <c r="G4" s="4" t="s">
        <v>217</v>
      </c>
      <c r="H4" s="4" t="s">
        <v>217</v>
      </c>
      <c r="I4" s="4" t="s">
        <v>218</v>
      </c>
      <c r="J4" s="4" t="s">
        <v>217</v>
      </c>
      <c r="K4" s="4" t="s">
        <v>217</v>
      </c>
      <c r="L4" s="4" t="s">
        <v>217</v>
      </c>
      <c r="M4" s="4" t="s">
        <v>219</v>
      </c>
      <c r="N4" s="4" t="s">
        <v>219</v>
      </c>
      <c r="O4" s="4" t="s">
        <v>219</v>
      </c>
      <c r="P4" s="4" t="s">
        <v>219</v>
      </c>
      <c r="Q4" s="4" t="s">
        <v>219</v>
      </c>
      <c r="R4" s="4" t="s">
        <v>217</v>
      </c>
    </row>
    <row r="5" spans="2:19" ht="16.5" hidden="1" customHeight="1" x14ac:dyDescent="0.4">
      <c r="B5" s="4" t="str">
        <f>HLOOKUP($B$2,$D$2:$R$5,4,FALSE)</f>
        <v>-</v>
      </c>
      <c r="C5" s="4"/>
      <c r="D5" s="4"/>
      <c r="E5" s="4" t="s">
        <v>210</v>
      </c>
      <c r="F5" s="4" t="str">
        <f>E5</f>
        <v>-</v>
      </c>
      <c r="G5" s="4" t="str">
        <f t="shared" ref="G5:H5" si="2">F5</f>
        <v>-</v>
      </c>
      <c r="H5" s="4" t="str">
        <f t="shared" si="2"/>
        <v>-</v>
      </c>
      <c r="I5" s="4">
        <f ca="1">COUNTIFS(長野県市町村統計表!$T$7:$T$83,"&gt;0",長野県市町村統計表!$U$7:$U$83,'ランキングツール（長野県市町村）'!N$17)</f>
        <v>19</v>
      </c>
      <c r="J5" s="4">
        <f ca="1">I5</f>
        <v>19</v>
      </c>
      <c r="K5" s="4">
        <f t="shared" ref="K5:P5" ca="1" si="3">J5</f>
        <v>19</v>
      </c>
      <c r="L5" s="4">
        <f t="shared" ca="1" si="3"/>
        <v>19</v>
      </c>
      <c r="M5" s="4">
        <f t="shared" ca="1" si="3"/>
        <v>19</v>
      </c>
      <c r="N5" s="4">
        <f t="shared" ca="1" si="3"/>
        <v>19</v>
      </c>
      <c r="O5" s="4">
        <f t="shared" ca="1" si="3"/>
        <v>19</v>
      </c>
      <c r="P5" s="4">
        <f t="shared" ca="1" si="3"/>
        <v>19</v>
      </c>
      <c r="Q5" s="4">
        <f t="shared" ref="Q5" ca="1" si="4">P5</f>
        <v>19</v>
      </c>
      <c r="R5" s="4" t="s">
        <v>210</v>
      </c>
    </row>
    <row r="6" spans="2:19" ht="16.5" hidden="1" customHeight="1" x14ac:dyDescent="0.4">
      <c r="B6" s="4" t="str">
        <f>HLOOKUP($B$2,$D$2:$R$7,5,FALSE)</f>
        <v>-</v>
      </c>
      <c r="C6" s="4"/>
      <c r="D6" s="4"/>
      <c r="E6" s="4" t="s">
        <v>210</v>
      </c>
      <c r="F6" s="4" t="str">
        <f t="shared" ref="F6:H7" si="5">E6</f>
        <v>-</v>
      </c>
      <c r="G6" s="4" t="str">
        <f t="shared" si="5"/>
        <v>-</v>
      </c>
      <c r="H6" s="4" t="str">
        <f t="shared" si="5"/>
        <v>-</v>
      </c>
      <c r="I6" s="4">
        <f ca="1">COUNTIFS(長野県市町村統計表!$T$7:$T$83,"&lt;0",長野県市町村統計表!$U$7:$U$83,'ランキングツール（長野県市町村）'!N$17)</f>
        <v>0</v>
      </c>
      <c r="J6" s="4">
        <f t="shared" ref="J6:P6" ca="1" si="6">I6</f>
        <v>0</v>
      </c>
      <c r="K6" s="4">
        <f t="shared" ca="1" si="6"/>
        <v>0</v>
      </c>
      <c r="L6" s="4">
        <f t="shared" ca="1" si="6"/>
        <v>0</v>
      </c>
      <c r="M6" s="4">
        <f t="shared" ca="1" si="6"/>
        <v>0</v>
      </c>
      <c r="N6" s="4">
        <f t="shared" ca="1" si="6"/>
        <v>0</v>
      </c>
      <c r="O6" s="4">
        <f t="shared" ca="1" si="6"/>
        <v>0</v>
      </c>
      <c r="P6" s="4">
        <f t="shared" ca="1" si="6"/>
        <v>0</v>
      </c>
      <c r="Q6" s="4">
        <f t="shared" ref="Q6" ca="1" si="7">COUNTIF($D$18:$D$83,"0")</f>
        <v>0</v>
      </c>
      <c r="R6" s="4" t="s">
        <v>210</v>
      </c>
    </row>
    <row r="7" spans="2:19" ht="16.5" hidden="1" customHeight="1" x14ac:dyDescent="0.4">
      <c r="B7" s="4" t="str">
        <f>HLOOKUP($B$2,$D$2:$R$7,6,FALSE)</f>
        <v>-</v>
      </c>
      <c r="C7" s="4"/>
      <c r="D7" s="4"/>
      <c r="E7" s="4" t="s">
        <v>210</v>
      </c>
      <c r="F7" s="4" t="str">
        <f t="shared" si="5"/>
        <v>-</v>
      </c>
      <c r="G7" s="4" t="str">
        <f t="shared" si="5"/>
        <v>-</v>
      </c>
      <c r="H7" s="4" t="str">
        <f t="shared" si="5"/>
        <v>-</v>
      </c>
      <c r="I7" s="4">
        <f ca="1">I5+I6</f>
        <v>19</v>
      </c>
      <c r="J7" s="4">
        <f t="shared" ref="J7:P7" ca="1" si="8">I7</f>
        <v>19</v>
      </c>
      <c r="K7" s="4">
        <f t="shared" ca="1" si="8"/>
        <v>19</v>
      </c>
      <c r="L7" s="4">
        <f t="shared" ca="1" si="8"/>
        <v>19</v>
      </c>
      <c r="M7" s="4">
        <f t="shared" ca="1" si="8"/>
        <v>19</v>
      </c>
      <c r="N7" s="4">
        <f t="shared" ca="1" si="8"/>
        <v>19</v>
      </c>
      <c r="O7" s="4">
        <f t="shared" ca="1" si="8"/>
        <v>19</v>
      </c>
      <c r="P7" s="4">
        <f t="shared" ca="1" si="8"/>
        <v>19</v>
      </c>
      <c r="Q7" s="4">
        <f t="shared" ref="Q7" ca="1" si="9">COUNTIF($D$18:$D$83,"&lt;0")</f>
        <v>0</v>
      </c>
      <c r="R7" s="4" t="s">
        <v>210</v>
      </c>
    </row>
    <row r="8" spans="2:19" ht="16.5" hidden="1" customHeight="1" x14ac:dyDescent="0.4">
      <c r="B8" s="4" t="str">
        <f>HLOOKUP($B$2,$D$2:$R$13,7,FALSE)</f>
        <v>-</v>
      </c>
      <c r="C8" s="4"/>
      <c r="D8" s="4"/>
      <c r="E8" s="4" t="s">
        <v>210</v>
      </c>
      <c r="F8" s="4" t="str">
        <f t="shared" ref="F8:H8" si="10">E8</f>
        <v>-</v>
      </c>
      <c r="G8" s="4" t="str">
        <f t="shared" si="10"/>
        <v>-</v>
      </c>
      <c r="H8" s="4" t="str">
        <f t="shared" si="10"/>
        <v>-</v>
      </c>
      <c r="I8" s="4">
        <f ca="1">COUNTIFS(長野県市町村統計表!$T$7:$T$83,"&gt;0",長野県市町村統計表!$U$7:$U$83,'ランキングツール（長野県市町村）'!O$17)</f>
        <v>23</v>
      </c>
      <c r="J8" s="4">
        <f t="shared" ref="J8:P8" ca="1" si="11">I8</f>
        <v>23</v>
      </c>
      <c r="K8" s="4">
        <f t="shared" ca="1" si="11"/>
        <v>23</v>
      </c>
      <c r="L8" s="4">
        <f t="shared" ca="1" si="11"/>
        <v>23</v>
      </c>
      <c r="M8" s="4">
        <f t="shared" ca="1" si="11"/>
        <v>23</v>
      </c>
      <c r="N8" s="4">
        <f t="shared" ca="1" si="11"/>
        <v>23</v>
      </c>
      <c r="O8" s="4">
        <f t="shared" ca="1" si="11"/>
        <v>23</v>
      </c>
      <c r="P8" s="4">
        <f t="shared" ca="1" si="11"/>
        <v>23</v>
      </c>
      <c r="Q8" s="4"/>
      <c r="R8" s="4" t="s">
        <v>210</v>
      </c>
    </row>
    <row r="9" spans="2:19" ht="16.5" hidden="1" customHeight="1" x14ac:dyDescent="0.4">
      <c r="B9" s="4" t="str">
        <f>HLOOKUP($B$2,$D$2:$R$13,8,FALSE)</f>
        <v>-</v>
      </c>
      <c r="C9" s="4"/>
      <c r="D9" s="4"/>
      <c r="E9" s="4" t="s">
        <v>210</v>
      </c>
      <c r="F9" s="4" t="str">
        <f t="shared" ref="F9:H9" si="12">E9</f>
        <v>-</v>
      </c>
      <c r="G9" s="4" t="str">
        <f t="shared" si="12"/>
        <v>-</v>
      </c>
      <c r="H9" s="4" t="str">
        <f t="shared" si="12"/>
        <v>-</v>
      </c>
      <c r="I9" s="4">
        <f ca="1">COUNTIFS(長野県市町村統計表!$T$7:$T$83,"&lt;0",長野県市町村統計表!$U$7:$U$83,'ランキングツール（長野県市町村）'!O$17)</f>
        <v>0</v>
      </c>
      <c r="J9" s="4">
        <f t="shared" ref="J9:P9" ca="1" si="13">I9</f>
        <v>0</v>
      </c>
      <c r="K9" s="4">
        <f t="shared" ca="1" si="13"/>
        <v>0</v>
      </c>
      <c r="L9" s="4">
        <f t="shared" ca="1" si="13"/>
        <v>0</v>
      </c>
      <c r="M9" s="4">
        <f t="shared" ca="1" si="13"/>
        <v>0</v>
      </c>
      <c r="N9" s="4">
        <f t="shared" ca="1" si="13"/>
        <v>0</v>
      </c>
      <c r="O9" s="4">
        <f t="shared" ca="1" si="13"/>
        <v>0</v>
      </c>
      <c r="P9" s="4">
        <f t="shared" ca="1" si="13"/>
        <v>0</v>
      </c>
      <c r="Q9" s="4"/>
      <c r="R9" s="4" t="s">
        <v>210</v>
      </c>
    </row>
    <row r="10" spans="2:19" ht="16.5" hidden="1" customHeight="1" x14ac:dyDescent="0.4">
      <c r="B10" s="4" t="str">
        <f>HLOOKUP($B$2,$D$2:$R$13,9,FALSE)</f>
        <v>-</v>
      </c>
      <c r="C10" s="4"/>
      <c r="D10" s="4"/>
      <c r="E10" s="4" t="s">
        <v>210</v>
      </c>
      <c r="F10" s="4" t="str">
        <f t="shared" ref="F10:H10" si="14">E10</f>
        <v>-</v>
      </c>
      <c r="G10" s="4" t="str">
        <f t="shared" si="14"/>
        <v>-</v>
      </c>
      <c r="H10" s="4" t="str">
        <f t="shared" si="14"/>
        <v>-</v>
      </c>
      <c r="I10" s="4">
        <f ca="1">I8+I9</f>
        <v>23</v>
      </c>
      <c r="J10" s="4">
        <f t="shared" ref="J10:P10" ca="1" si="15">I10</f>
        <v>23</v>
      </c>
      <c r="K10" s="4">
        <f t="shared" ca="1" si="15"/>
        <v>23</v>
      </c>
      <c r="L10" s="4">
        <f t="shared" ca="1" si="15"/>
        <v>23</v>
      </c>
      <c r="M10" s="4">
        <f t="shared" ca="1" si="15"/>
        <v>23</v>
      </c>
      <c r="N10" s="4">
        <f t="shared" ca="1" si="15"/>
        <v>23</v>
      </c>
      <c r="O10" s="4">
        <f t="shared" ca="1" si="15"/>
        <v>23</v>
      </c>
      <c r="P10" s="4">
        <f t="shared" ca="1" si="15"/>
        <v>23</v>
      </c>
      <c r="Q10" s="4"/>
      <c r="R10" s="4" t="s">
        <v>210</v>
      </c>
    </row>
    <row r="11" spans="2:19" ht="16.5" hidden="1" customHeight="1" x14ac:dyDescent="0.4">
      <c r="B11" s="4" t="str">
        <f>HLOOKUP($B$2,$D$2:$R$13,10,FALSE)</f>
        <v>-</v>
      </c>
      <c r="C11" s="4"/>
      <c r="D11" s="4"/>
      <c r="E11" s="4" t="s">
        <v>210</v>
      </c>
      <c r="F11" s="4" t="str">
        <f t="shared" ref="F11:H11" si="16">E11</f>
        <v>-</v>
      </c>
      <c r="G11" s="4" t="str">
        <f t="shared" si="16"/>
        <v>-</v>
      </c>
      <c r="H11" s="4" t="str">
        <f t="shared" si="16"/>
        <v>-</v>
      </c>
      <c r="I11" s="4">
        <f ca="1">COUNTIFS(長野県市町村統計表!$T$7:$T$83,"&gt;0",長野県市町村統計表!$U$7:$U$83,'ランキングツール（長野県市町村）'!P$17)</f>
        <v>35</v>
      </c>
      <c r="J11" s="4">
        <f t="shared" ref="J11:P11" ca="1" si="17">I11</f>
        <v>35</v>
      </c>
      <c r="K11" s="4">
        <f t="shared" ca="1" si="17"/>
        <v>35</v>
      </c>
      <c r="L11" s="4">
        <f t="shared" ca="1" si="17"/>
        <v>35</v>
      </c>
      <c r="M11" s="4">
        <f t="shared" ca="1" si="17"/>
        <v>35</v>
      </c>
      <c r="N11" s="4">
        <f t="shared" ca="1" si="17"/>
        <v>35</v>
      </c>
      <c r="O11" s="4">
        <f t="shared" ca="1" si="17"/>
        <v>35</v>
      </c>
      <c r="P11" s="4">
        <f t="shared" ca="1" si="17"/>
        <v>35</v>
      </c>
      <c r="Q11" s="4"/>
      <c r="R11" s="4" t="s">
        <v>210</v>
      </c>
    </row>
    <row r="12" spans="2:19" ht="16.5" hidden="1" customHeight="1" x14ac:dyDescent="0.4">
      <c r="B12" s="4" t="str">
        <f>HLOOKUP($B$2,$D$2:$R$13,11,FALSE)</f>
        <v>-</v>
      </c>
      <c r="C12" s="4"/>
      <c r="D12" s="4"/>
      <c r="E12" s="4" t="s">
        <v>210</v>
      </c>
      <c r="F12" s="4" t="str">
        <f t="shared" ref="F12:H12" si="18">E12</f>
        <v>-</v>
      </c>
      <c r="G12" s="4" t="str">
        <f t="shared" si="18"/>
        <v>-</v>
      </c>
      <c r="H12" s="4" t="str">
        <f t="shared" si="18"/>
        <v>-</v>
      </c>
      <c r="I12" s="4">
        <f ca="1">COUNTIFS(長野県市町村統計表!$T$7:$T$83,"&lt;0",長野県市町村統計表!$U$7:$U$83,'ランキングツール（長野県市町村）'!P$17)</f>
        <v>0</v>
      </c>
      <c r="J12" s="4">
        <f t="shared" ref="J12:P12" ca="1" si="19">I12</f>
        <v>0</v>
      </c>
      <c r="K12" s="4">
        <f t="shared" ca="1" si="19"/>
        <v>0</v>
      </c>
      <c r="L12" s="4">
        <f t="shared" ca="1" si="19"/>
        <v>0</v>
      </c>
      <c r="M12" s="4">
        <f t="shared" ca="1" si="19"/>
        <v>0</v>
      </c>
      <c r="N12" s="4">
        <f t="shared" ca="1" si="19"/>
        <v>0</v>
      </c>
      <c r="O12" s="4">
        <f t="shared" ca="1" si="19"/>
        <v>0</v>
      </c>
      <c r="P12" s="4">
        <f t="shared" ca="1" si="19"/>
        <v>0</v>
      </c>
      <c r="Q12" s="4"/>
      <c r="R12" s="4" t="s">
        <v>210</v>
      </c>
    </row>
    <row r="13" spans="2:19" ht="16.5" hidden="1" customHeight="1" x14ac:dyDescent="0.4">
      <c r="B13" s="4" t="str">
        <f>HLOOKUP($B$2,$D$2:$R$13,12,FALSE)</f>
        <v>-</v>
      </c>
      <c r="C13" s="4"/>
      <c r="D13" s="4"/>
      <c r="E13" s="4" t="s">
        <v>210</v>
      </c>
      <c r="F13" s="4" t="str">
        <f t="shared" ref="F13:H13" si="20">E13</f>
        <v>-</v>
      </c>
      <c r="G13" s="4" t="str">
        <f t="shared" si="20"/>
        <v>-</v>
      </c>
      <c r="H13" s="4" t="str">
        <f t="shared" si="20"/>
        <v>-</v>
      </c>
      <c r="I13" s="4">
        <f ca="1">I11+I12</f>
        <v>35</v>
      </c>
      <c r="J13" s="4">
        <f t="shared" ref="J13:P13" ca="1" si="21">I13</f>
        <v>35</v>
      </c>
      <c r="K13" s="4">
        <f t="shared" ca="1" si="21"/>
        <v>35</v>
      </c>
      <c r="L13" s="4">
        <f t="shared" ca="1" si="21"/>
        <v>35</v>
      </c>
      <c r="M13" s="4">
        <f t="shared" ca="1" si="21"/>
        <v>35</v>
      </c>
      <c r="N13" s="4">
        <f t="shared" ca="1" si="21"/>
        <v>35</v>
      </c>
      <c r="O13" s="4">
        <f t="shared" ca="1" si="21"/>
        <v>35</v>
      </c>
      <c r="P13" s="4">
        <f t="shared" ca="1" si="21"/>
        <v>35</v>
      </c>
      <c r="Q13" s="4"/>
      <c r="R13" s="4" t="s">
        <v>210</v>
      </c>
    </row>
    <row r="14" spans="2:19" ht="16.5" hidden="1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9" ht="24.75" customHeight="1" x14ac:dyDescent="0.4">
      <c r="B15" s="62" t="s">
        <v>80</v>
      </c>
      <c r="C15" s="63"/>
      <c r="D15" s="48">
        <f ca="1">IF($B$3="整数",ROUND(F15,0),F15)</f>
        <v>832104</v>
      </c>
      <c r="E15" s="5"/>
      <c r="F15" s="4">
        <f ca="1">長野県市町村統計表!$T$6</f>
        <v>832103.99061983731</v>
      </c>
      <c r="G15" s="5"/>
      <c r="H15" s="5"/>
      <c r="I15" s="49" t="str">
        <f>"単位："&amp;B4</f>
        <v>単位：人</v>
      </c>
      <c r="J15" s="5"/>
      <c r="K15" s="5"/>
      <c r="L15" s="5"/>
      <c r="M15" s="5"/>
      <c r="N15" s="5"/>
      <c r="O15" s="5"/>
      <c r="P15" s="5"/>
      <c r="Q15" s="5"/>
      <c r="R15" s="5"/>
    </row>
    <row r="16" spans="2:19" ht="24" x14ac:dyDescent="0.5">
      <c r="B16" s="7" t="s">
        <v>96</v>
      </c>
      <c r="C16" s="5"/>
      <c r="D16" s="5"/>
      <c r="E16" s="5"/>
      <c r="F16" s="5"/>
      <c r="G16" s="7" t="s">
        <v>97</v>
      </c>
      <c r="H16" s="4"/>
      <c r="I16" s="4"/>
      <c r="J16" s="4"/>
      <c r="K16" s="4"/>
    </row>
    <row r="17" spans="2:16" x14ac:dyDescent="0.4">
      <c r="B17" s="3" t="s">
        <v>98</v>
      </c>
      <c r="C17" s="37" t="s">
        <v>85</v>
      </c>
      <c r="D17" s="37" t="str">
        <f>B2</f>
        <v>2020年　世帯数</v>
      </c>
      <c r="E17" s="40"/>
      <c r="F17" s="41"/>
      <c r="G17" s="39" t="s">
        <v>98</v>
      </c>
      <c r="H17" s="39" t="s">
        <v>85</v>
      </c>
      <c r="I17" s="39" t="str">
        <f>B2</f>
        <v>2020年　世帯数</v>
      </c>
      <c r="J17" s="4"/>
      <c r="L17" s="6" t="s">
        <v>88</v>
      </c>
      <c r="M17" s="6" t="s">
        <v>89</v>
      </c>
      <c r="N17" s="6" t="s">
        <v>93</v>
      </c>
      <c r="O17" s="6" t="s">
        <v>94</v>
      </c>
      <c r="P17" s="6" t="s">
        <v>95</v>
      </c>
    </row>
    <row r="18" spans="2:16" x14ac:dyDescent="0.4">
      <c r="B18" s="9">
        <v>1</v>
      </c>
      <c r="C18" s="10" t="str">
        <f ca="1">INDEX(長野県市町村統計表!$A$6:$T$83,MATCH('ランキングツール（長野県市町村）'!F18,長野県市町村統計表!$T$6:$T$83,0),1)</f>
        <v>長野市</v>
      </c>
      <c r="D18" s="11">
        <f ca="1">IF($B$3="整数",ROUND(F18,0),F18)</f>
        <v>156976</v>
      </c>
      <c r="E18" s="5"/>
      <c r="F18" s="27">
        <f ca="1">LARGE(長野県市町村統計表!$T$7:$T$83,'ランキングツール（長野県市町村）'!B18)</f>
        <v>156975.63142306139</v>
      </c>
      <c r="G18" s="9">
        <v>1</v>
      </c>
      <c r="H18" s="10" t="str">
        <f ca="1">INDEX(長野県市町村統計表!$A$6:$T$83,MATCH('ランキングツール（長野県市町村）'!K18,長野県市町村統計表!$T$6:$T$83,0),1)</f>
        <v>平谷村</v>
      </c>
      <c r="I18" s="11">
        <f ca="1">IF($B$3="整数",ROUND(K18,0),K18)</f>
        <v>196</v>
      </c>
      <c r="J18" s="4"/>
      <c r="K18" s="4">
        <f ca="1">SMALL(長野県市町村統計表!$T$7:$T$83,'ランキングツール（長野県市町村）'!G18)</f>
        <v>196.00190707807775</v>
      </c>
      <c r="L18" s="8" t="s">
        <v>86</v>
      </c>
      <c r="M18" s="46" t="str">
        <f>IFERROR(N18+O18+P18,"-")</f>
        <v>-</v>
      </c>
      <c r="N18" s="46" t="str">
        <f>B5</f>
        <v>-</v>
      </c>
      <c r="O18" s="46" t="str">
        <f>B8</f>
        <v>-</v>
      </c>
      <c r="P18" s="46" t="str">
        <f>B11</f>
        <v>-</v>
      </c>
    </row>
    <row r="19" spans="2:16" x14ac:dyDescent="0.4">
      <c r="B19" s="9">
        <v>2</v>
      </c>
      <c r="C19" s="10" t="str">
        <f ca="1">INDEX(長野県市町村統計表!$A$6:$T$83,MATCH('ランキングツール（長野県市町村）'!F19,長野県市町村統計表!$T$6:$T$83,0),1)</f>
        <v>松本市</v>
      </c>
      <c r="D19" s="11">
        <f t="shared" ref="D19:D82" ca="1" si="22">IF($B$3="整数",ROUND(F19,0),F19)</f>
        <v>104934</v>
      </c>
      <c r="E19" s="5"/>
      <c r="F19" s="27">
        <f ca="1">LARGE(長野県市町村統計表!$T$7:$T$83,'ランキングツール（長野県市町村）'!B19)</f>
        <v>104934.20119932137</v>
      </c>
      <c r="G19" s="9">
        <v>2</v>
      </c>
      <c r="H19" s="10" t="str">
        <f ca="1">INDEX(長野県市町村統計表!$A$6:$T$83,MATCH('ランキングツール（長野県市町村）'!K19,長野県市町村統計表!$T$6:$T$83,0),1)</f>
        <v>売木村</v>
      </c>
      <c r="I19" s="11">
        <f t="shared" ref="I19:I82" ca="1" si="23">IF($B$3="整数",ROUND(K19,0),K19)</f>
        <v>279</v>
      </c>
      <c r="J19" s="4"/>
      <c r="K19" s="4">
        <f ca="1">SMALL(長野県市町村統計表!$T$7:$T$83,'ランキングツール（長野県市町村）'!G19)</f>
        <v>279.0023578263885</v>
      </c>
      <c r="L19" s="8" t="s">
        <v>87</v>
      </c>
      <c r="M19" s="46" t="str">
        <f t="shared" ref="M19:M20" si="24">IFERROR(N19+O19+P19,"-")</f>
        <v>-</v>
      </c>
      <c r="N19" s="46" t="str">
        <f t="shared" ref="N19:N20" si="25">B6</f>
        <v>-</v>
      </c>
      <c r="O19" s="46" t="str">
        <f t="shared" ref="O19:O20" si="26">B9</f>
        <v>-</v>
      </c>
      <c r="P19" s="46" t="str">
        <f t="shared" ref="P19:P20" si="27">B12</f>
        <v>-</v>
      </c>
    </row>
    <row r="20" spans="2:16" x14ac:dyDescent="0.4">
      <c r="B20" s="9">
        <v>3</v>
      </c>
      <c r="C20" s="10" t="str">
        <f ca="1">INDEX(長野県市町村統計表!$A$6:$T$83,MATCH('ランキングツール（長野県市町村）'!F20,長野県市町村統計表!$T$6:$T$83,0),1)</f>
        <v>上田市</v>
      </c>
      <c r="D20" s="11">
        <f t="shared" ca="1" si="22"/>
        <v>64296</v>
      </c>
      <c r="E20" s="5"/>
      <c r="F20" s="27">
        <f ca="1">LARGE(長野県市町村統計表!$T$7:$T$83,'ランキングツール（長野県市町村）'!B20)</f>
        <v>64296.489089754956</v>
      </c>
      <c r="G20" s="9">
        <v>3</v>
      </c>
      <c r="H20" s="10" t="str">
        <f ca="1">INDEX(長野県市町村統計表!$A$6:$T$83,MATCH('ランキングツール（長野県市町村）'!K20,長野県市町村統計表!$T$6:$T$83,0),1)</f>
        <v>北相木村</v>
      </c>
      <c r="I20" s="11">
        <f t="shared" ca="1" si="23"/>
        <v>342</v>
      </c>
      <c r="J20" s="4"/>
      <c r="K20" s="4">
        <f ca="1">SMALL(長野県市町村統計表!$T$7:$T$83,'ランキングツール（長野県市町村）'!G20)</f>
        <v>342.00007270209676</v>
      </c>
      <c r="L20" s="8" t="s">
        <v>90</v>
      </c>
      <c r="M20" s="46" t="str">
        <f t="shared" si="24"/>
        <v>-</v>
      </c>
      <c r="N20" s="46" t="str">
        <f t="shared" si="25"/>
        <v>-</v>
      </c>
      <c r="O20" s="46" t="str">
        <f t="shared" si="26"/>
        <v>-</v>
      </c>
      <c r="P20" s="46" t="str">
        <f t="shared" si="27"/>
        <v>-</v>
      </c>
    </row>
    <row r="21" spans="2:16" x14ac:dyDescent="0.4">
      <c r="B21" s="9">
        <v>4</v>
      </c>
      <c r="C21" s="10" t="str">
        <f ca="1">INDEX(長野県市町村統計表!$A$6:$T$83,MATCH('ランキングツール（長野県市町村）'!F21,長野県市町村統計表!$T$6:$T$83,0),1)</f>
        <v>佐久市</v>
      </c>
      <c r="D21" s="11">
        <f t="shared" ca="1" si="22"/>
        <v>39924</v>
      </c>
      <c r="E21" s="5"/>
      <c r="F21" s="27">
        <f ca="1">LARGE(長野県市町村統計表!$T$7:$T$83,'ランキングツール（長野県市町村）'!B21)</f>
        <v>39924.18775145361</v>
      </c>
      <c r="G21" s="9">
        <v>4</v>
      </c>
      <c r="H21" s="10" t="str">
        <f ca="1">INDEX(長野県市町村統計表!$A$6:$T$83,MATCH('ランキングツール（長野県市町村）'!K21,長野県市町村統計表!$T$6:$T$83,0),1)</f>
        <v>王滝村</v>
      </c>
      <c r="I21" s="11">
        <f t="shared" ca="1" si="23"/>
        <v>371</v>
      </c>
      <c r="J21" s="4"/>
      <c r="K21" s="4">
        <f ca="1">SMALL(長野県市町村統計表!$T$7:$T$83,'ランキングツール（長野県市町村）'!G21)</f>
        <v>371.00082244524015</v>
      </c>
    </row>
    <row r="22" spans="2:16" x14ac:dyDescent="0.4">
      <c r="B22" s="9">
        <v>5</v>
      </c>
      <c r="C22" s="10" t="str">
        <f ca="1">INDEX(長野県市町村統計表!$A$6:$T$83,MATCH('ランキングツール（長野県市町村）'!F22,長野県市町村統計表!$T$6:$T$83,0),1)</f>
        <v>飯田市</v>
      </c>
      <c r="D22" s="11">
        <f t="shared" ca="1" si="22"/>
        <v>38903</v>
      </c>
      <c r="E22" s="5"/>
      <c r="F22" s="27">
        <f ca="1">LARGE(長野県市町村統計表!$T$7:$T$83,'ランキングツール（長野県市町村）'!B22)</f>
        <v>38903.108698680742</v>
      </c>
      <c r="G22" s="9">
        <v>5</v>
      </c>
      <c r="H22" s="10" t="str">
        <f ca="1">INDEX(長野県市町村統計表!$A$6:$T$83,MATCH('ランキングツール（長野県市町村）'!K22,長野県市町村統計表!$T$6:$T$83,0),1)</f>
        <v>根羽村</v>
      </c>
      <c r="I22" s="11">
        <f t="shared" ca="1" si="23"/>
        <v>383</v>
      </c>
      <c r="J22" s="4"/>
      <c r="K22" s="4">
        <f ca="1">SMALL(長野県市町村統計表!$T$7:$T$83,'ランキングツール（長野県市町村）'!G22)</f>
        <v>383.00343791032401</v>
      </c>
    </row>
    <row r="23" spans="2:16" x14ac:dyDescent="0.4">
      <c r="B23" s="9">
        <v>6</v>
      </c>
      <c r="C23" s="10" t="str">
        <f ca="1">INDEX(長野県市町村統計表!$A$6:$T$83,MATCH('ランキングツール（長野県市町村）'!F23,長野県市町村統計表!$T$6:$T$83,0),1)</f>
        <v>安曇野市</v>
      </c>
      <c r="D23" s="11">
        <f t="shared" ca="1" si="22"/>
        <v>36491</v>
      </c>
      <c r="E23" s="5"/>
      <c r="F23" s="27">
        <f ca="1">LARGE(長野県市町村統計表!$T$7:$T$83,'ランキングツール（長野県市町村）'!B23)</f>
        <v>36491.238574781259</v>
      </c>
      <c r="G23" s="9">
        <v>6</v>
      </c>
      <c r="H23" s="10" t="str">
        <f ca="1">INDEX(長野県市町村統計表!$A$6:$T$83,MATCH('ランキングツール（長野県市町村）'!K23,長野県市町村統計表!$T$6:$T$83,0),1)</f>
        <v>南相木村</v>
      </c>
      <c r="I23" s="11">
        <f t="shared" ca="1" si="23"/>
        <v>406</v>
      </c>
      <c r="J23" s="4"/>
      <c r="K23" s="4">
        <f ca="1">SMALL(長野県市町村統計表!$T$7:$T$83,'ランキングツール（長野県市町村）'!G23)</f>
        <v>406.00308656126583</v>
      </c>
    </row>
    <row r="24" spans="2:16" x14ac:dyDescent="0.4">
      <c r="B24" s="9">
        <v>7</v>
      </c>
      <c r="C24" s="10" t="str">
        <f ca="1">INDEX(長野県市町村統計表!$A$6:$T$83,MATCH('ランキングツール（長野県市町村）'!F24,長野県市町村統計表!$T$6:$T$83,0),1)</f>
        <v>塩尻市</v>
      </c>
      <c r="D24" s="11">
        <f t="shared" ca="1" si="22"/>
        <v>27997</v>
      </c>
      <c r="E24" s="5"/>
      <c r="F24" s="27">
        <f ca="1">LARGE(長野県市町村統計表!$T$7:$T$83,'ランキングツール（長野県市町村）'!B24)</f>
        <v>27997.093000626362</v>
      </c>
      <c r="G24" s="9">
        <v>7</v>
      </c>
      <c r="H24" s="10" t="str">
        <f ca="1">INDEX(長野県市町村統計表!$A$6:$T$83,MATCH('ランキングツール（長野県市町村）'!K24,長野県市町村統計表!$T$6:$T$83,0),1)</f>
        <v>大鹿村</v>
      </c>
      <c r="I24" s="11">
        <f t="shared" ca="1" si="23"/>
        <v>532</v>
      </c>
      <c r="J24" s="4"/>
      <c r="K24" s="4">
        <f ca="1">SMALL(長野県市町村統計表!$T$7:$T$83,'ランキングツール（長野県市町村）'!G24)</f>
        <v>532.0047761639803</v>
      </c>
    </row>
    <row r="25" spans="2:16" x14ac:dyDescent="0.4">
      <c r="B25" s="9">
        <v>8</v>
      </c>
      <c r="C25" s="10" t="str">
        <f ca="1">INDEX(長野県市町村統計表!$A$6:$T$83,MATCH('ランキングツール（長野県市町村）'!F25,長野県市町村統計表!$T$6:$T$83,0),1)</f>
        <v>伊那市</v>
      </c>
      <c r="D25" s="11">
        <f t="shared" ca="1" si="22"/>
        <v>26238</v>
      </c>
      <c r="E25" s="5"/>
      <c r="F25" s="27">
        <f ca="1">LARGE(長野県市町村統計表!$T$7:$T$83,'ランキングツール（長野県市町村）'!B25)</f>
        <v>26238.142857477917</v>
      </c>
      <c r="G25" s="9">
        <v>8</v>
      </c>
      <c r="H25" s="10" t="str">
        <f ca="1">INDEX(長野県市町村統計表!$A$6:$T$83,MATCH('ランキングツール（長野県市町村）'!K25,長野県市町村統計表!$T$6:$T$83,0),1)</f>
        <v>天龍村</v>
      </c>
      <c r="I25" s="11">
        <f t="shared" ca="1" si="23"/>
        <v>563</v>
      </c>
      <c r="J25" s="4"/>
      <c r="K25" s="4">
        <f ca="1">SMALL(長野県市町村統計表!$T$7:$T$83,'ランキングツール（長野県市町村）'!G25)</f>
        <v>563.00503235991721</v>
      </c>
    </row>
    <row r="26" spans="2:16" x14ac:dyDescent="0.4">
      <c r="B26" s="9">
        <v>9</v>
      </c>
      <c r="C26" s="10" t="str">
        <f ca="1">INDEX(長野県市町村統計表!$A$6:$T$83,MATCH('ランキングツール（長野県市町村）'!F26,長野県市町村統計表!$T$6:$T$83,0),1)</f>
        <v>茅野市</v>
      </c>
      <c r="D26" s="11">
        <f t="shared" ca="1" si="22"/>
        <v>23848</v>
      </c>
      <c r="E26" s="5"/>
      <c r="F26" s="27">
        <f ca="1">LARGE(長野県市町村統計表!$T$7:$T$83,'ランキングツール（長野県市町村）'!B26)</f>
        <v>23848.190234803737</v>
      </c>
      <c r="G26" s="9">
        <v>9</v>
      </c>
      <c r="H26" s="10" t="str">
        <f ca="1">INDEX(長野県市町村統計表!$A$6:$T$83,MATCH('ランキングツール（長野県市町村）'!K26,長野県市町村統計表!$T$6:$T$83,0),1)</f>
        <v>泰阜村</v>
      </c>
      <c r="I26" s="11">
        <f t="shared" ca="1" si="23"/>
        <v>595</v>
      </c>
      <c r="J26" s="4"/>
      <c r="K26" s="4">
        <f ca="1">SMALL(長野県市町村統計表!$T$7:$T$83,'ランキングツール（長野県市町村）'!G26)</f>
        <v>595.00378811867085</v>
      </c>
    </row>
    <row r="27" spans="2:16" x14ac:dyDescent="0.4">
      <c r="B27" s="9">
        <v>10</v>
      </c>
      <c r="C27" s="10" t="str">
        <f ca="1">INDEX(長野県市町村統計表!$A$6:$T$83,MATCH('ランキングツール（長野県市町村）'!F27,長野県市町村統計表!$T$6:$T$83,0),1)</f>
        <v>千曲市</v>
      </c>
      <c r="D27" s="11">
        <f t="shared" ca="1" si="22"/>
        <v>22023</v>
      </c>
      <c r="E27" s="5"/>
      <c r="F27" s="27">
        <f ca="1">LARGE(長野県市町村統計表!$T$7:$T$83,'ランキングツール（長野県市町村）'!B27)</f>
        <v>22023.050031816958</v>
      </c>
      <c r="G27" s="9">
        <v>10</v>
      </c>
      <c r="H27" s="10" t="str">
        <f ca="1">INDEX(長野県市町村統計表!$A$6:$T$83,MATCH('ランキングツール（長野県市町村）'!K27,長野県市町村統計表!$T$6:$T$83,0),1)</f>
        <v>生坂村</v>
      </c>
      <c r="I27" s="11">
        <f t="shared" ca="1" si="23"/>
        <v>665</v>
      </c>
      <c r="J27" s="4"/>
      <c r="K27" s="4">
        <f ca="1">SMALL(長野県市町村統計表!$T$7:$T$83,'ランキングツール（長野県市町村）'!G27)</f>
        <v>665.00010586625217</v>
      </c>
    </row>
    <row r="28" spans="2:16" x14ac:dyDescent="0.4">
      <c r="B28" s="9">
        <v>11</v>
      </c>
      <c r="C28" s="10" t="str">
        <f ca="1">INDEX(長野県市町村統計表!$A$6:$T$83,MATCH('ランキングツール（長野県市町村）'!F28,長野県市町村統計表!$T$6:$T$83,0),1)</f>
        <v>諏訪市</v>
      </c>
      <c r="D28" s="11">
        <f t="shared" ca="1" si="22"/>
        <v>20776</v>
      </c>
      <c r="E28" s="5"/>
      <c r="F28" s="27">
        <f ca="1">LARGE(長野県市町村統計表!$T$7:$T$83,'ランキングツール（長野県市町村）'!B28)</f>
        <v>20776.192072224021</v>
      </c>
      <c r="G28" s="9">
        <v>11</v>
      </c>
      <c r="H28" s="10" t="str">
        <f ca="1">INDEX(長野県市町村統計表!$A$6:$T$83,MATCH('ランキングツール（長野県市町村）'!K28,長野県市町村統計表!$T$6:$T$83,0),1)</f>
        <v>栄村</v>
      </c>
      <c r="I28" s="11">
        <f t="shared" ca="1" si="23"/>
        <v>692</v>
      </c>
      <c r="J28" s="4"/>
      <c r="K28" s="4">
        <f ca="1">SMALL(長野県市町村統計表!$T$7:$T$83,'ランキングツール（長野県市町村）'!G28)</f>
        <v>692.00147924226167</v>
      </c>
    </row>
    <row r="29" spans="2:16" x14ac:dyDescent="0.4">
      <c r="B29" s="9">
        <v>12</v>
      </c>
      <c r="C29" s="10" t="str">
        <f ca="1">INDEX(長野県市町村統計表!$A$6:$T$83,MATCH('ランキングツール（長野県市町村）'!F29,長野県市町村統計表!$T$6:$T$83,0),1)</f>
        <v>岡谷市</v>
      </c>
      <c r="D29" s="11">
        <f t="shared" ca="1" si="22"/>
        <v>19274</v>
      </c>
      <c r="E29" s="5"/>
      <c r="F29" s="27">
        <f ca="1">LARGE(長野県市町村統計表!$T$7:$T$83,'ランキングツール（長野県市町村）'!B29)</f>
        <v>19274.062629514636</v>
      </c>
      <c r="G29" s="9">
        <v>12</v>
      </c>
      <c r="H29" s="10" t="str">
        <f ca="1">INDEX(長野県市町村統計表!$A$6:$T$83,MATCH('ランキングツール（長野県市町村）'!K29,長野県市町村統計表!$T$6:$T$83,0),1)</f>
        <v>小川村</v>
      </c>
      <c r="I29" s="11">
        <f t="shared" ca="1" si="23"/>
        <v>965</v>
      </c>
      <c r="J29" s="4"/>
      <c r="K29" s="4">
        <f ca="1">SMALL(長野県市町村統計表!$T$7:$T$83,'ランキングツール（長野県市町村）'!G29)</f>
        <v>965.00126959066779</v>
      </c>
    </row>
    <row r="30" spans="2:16" x14ac:dyDescent="0.4">
      <c r="B30" s="9">
        <v>13</v>
      </c>
      <c r="C30" s="10" t="str">
        <f ca="1">INDEX(長野県市町村統計表!$A$6:$T$83,MATCH('ランキングツール（長野県市町村）'!F30,長野県市町村統計表!$T$6:$T$83,0),1)</f>
        <v>須坂市</v>
      </c>
      <c r="D30" s="11">
        <f t="shared" ca="1" si="22"/>
        <v>18839</v>
      </c>
      <c r="E30" s="5"/>
      <c r="F30" s="27">
        <f ca="1">LARGE(長野県市町村統計表!$T$7:$T$83,'ランキングツール（長野県市町村）'!B30)</f>
        <v>18839.088958370794</v>
      </c>
      <c r="G30" s="9">
        <v>13</v>
      </c>
      <c r="H30" s="10" t="str">
        <f ca="1">INDEX(長野県市町村統計表!$A$6:$T$83,MATCH('ランキングツール（長野県市町村）'!K30,長野県市町村統計表!$T$6:$T$83,0),1)</f>
        <v>麻績村</v>
      </c>
      <c r="I30" s="11">
        <f t="shared" ca="1" si="23"/>
        <v>971</v>
      </c>
      <c r="J30" s="4"/>
      <c r="K30" s="4">
        <f ca="1">SMALL(長野県市町村統計表!$T$7:$T$83,'ランキングツール（長野県市町村）'!G30)</f>
        <v>971.00315251981544</v>
      </c>
    </row>
    <row r="31" spans="2:16" x14ac:dyDescent="0.4">
      <c r="B31" s="9">
        <v>14</v>
      </c>
      <c r="C31" s="10" t="str">
        <f ca="1">INDEX(長野県市町村統計表!$A$6:$T$83,MATCH('ランキングツール（長野県市町村）'!F31,長野県市町村統計表!$T$6:$T$83,0),1)</f>
        <v>小諸市</v>
      </c>
      <c r="D31" s="11">
        <f t="shared" ca="1" si="22"/>
        <v>16831</v>
      </c>
      <c r="E31" s="5"/>
      <c r="F31" s="27">
        <f ca="1">LARGE(長野県市町村統計表!$T$7:$T$83,'ランキングツール（長野県市町村）'!B31)</f>
        <v>16831.115605142051</v>
      </c>
      <c r="G31" s="9">
        <v>14</v>
      </c>
      <c r="H31" s="10" t="str">
        <f ca="1">INDEX(長野県市町村統計表!$A$6:$T$83,MATCH('ランキングツール（長野県市町村）'!K31,長野県市町村統計表!$T$6:$T$83,0),1)</f>
        <v>木祖村</v>
      </c>
      <c r="I31" s="11">
        <f t="shared" ca="1" si="23"/>
        <v>1013</v>
      </c>
      <c r="J31" s="4"/>
      <c r="K31" s="4">
        <f ca="1">SMALL(長野県市町村統計表!$T$7:$T$83,'ランキングツール（長野県市町村）'!G31)</f>
        <v>1013.0056604977746</v>
      </c>
    </row>
    <row r="32" spans="2:16" x14ac:dyDescent="0.4">
      <c r="B32" s="9">
        <v>15</v>
      </c>
      <c r="C32" s="10" t="str">
        <f ca="1">INDEX(長野県市町村統計表!$A$6:$T$83,MATCH('ランキングツール（長野県市町村）'!F32,長野県市町村統計表!$T$6:$T$83,0),1)</f>
        <v>中野市</v>
      </c>
      <c r="D32" s="11">
        <f t="shared" ca="1" si="22"/>
        <v>15799</v>
      </c>
      <c r="E32" s="5"/>
      <c r="F32" s="27">
        <f ca="1">LARGE(長野県市町村統計表!$T$7:$T$83,'ランキングツール（長野県市町村）'!B32)</f>
        <v>15799.157963225658</v>
      </c>
      <c r="G32" s="9">
        <v>15</v>
      </c>
      <c r="H32" s="10" t="str">
        <f ca="1">INDEX(長野県市町村統計表!$A$6:$T$83,MATCH('ランキングツール（長野県市町村）'!K32,長野県市町村統計表!$T$6:$T$83,0),1)</f>
        <v>南牧村</v>
      </c>
      <c r="I32" s="11">
        <f t="shared" ca="1" si="23"/>
        <v>1075</v>
      </c>
      <c r="J32" s="4"/>
      <c r="K32" s="4">
        <f ca="1">SMALL(長野県市町村統計表!$T$7:$T$83,'ランキングツール（長野県市町村）'!G32)</f>
        <v>1075.0097041648057</v>
      </c>
    </row>
    <row r="33" spans="2:11" x14ac:dyDescent="0.4">
      <c r="B33" s="9">
        <v>16</v>
      </c>
      <c r="C33" s="10" t="str">
        <f ca="1">INDEX(長野県市町村統計表!$A$6:$T$83,MATCH('ランキングツール（長野県市町村）'!F33,長野県市町村統計表!$T$6:$T$83,0),1)</f>
        <v>駒ヶ根市</v>
      </c>
      <c r="D33" s="11">
        <f t="shared" ca="1" si="22"/>
        <v>12956</v>
      </c>
      <c r="E33" s="5"/>
      <c r="F33" s="27">
        <f ca="1">LARGE(長野県市町村統計表!$T$7:$T$83,'ランキングツール（長野県市町村）'!B33)</f>
        <v>12956.063742918112</v>
      </c>
      <c r="G33" s="9">
        <v>16</v>
      </c>
      <c r="H33" s="10" t="str">
        <f ca="1">INDEX(長野県市町村統計表!$A$6:$T$83,MATCH('ランキングツール（長野県市町村）'!K33,長野県市町村統計表!$T$6:$T$83,0),1)</f>
        <v>小谷村</v>
      </c>
      <c r="I33" s="11">
        <f t="shared" ca="1" si="23"/>
        <v>1145</v>
      </c>
      <c r="J33" s="4"/>
      <c r="K33" s="4">
        <f ca="1">SMALL(長野県市町村統計表!$T$7:$T$83,'ランキングツール（長野県市町村）'!G33)</f>
        <v>1145.0042632599946</v>
      </c>
    </row>
    <row r="34" spans="2:11" x14ac:dyDescent="0.4">
      <c r="B34" s="9">
        <v>17</v>
      </c>
      <c r="C34" s="10" t="str">
        <f ca="1">INDEX(長野県市町村統計表!$A$6:$T$83,MATCH('ランキングツール（長野県市町村）'!F34,長野県市町村統計表!$T$6:$T$83,0),1)</f>
        <v>東御市</v>
      </c>
      <c r="D34" s="11">
        <f t="shared" ca="1" si="22"/>
        <v>11260</v>
      </c>
      <c r="E34" s="5"/>
      <c r="F34" s="27">
        <f ca="1">LARGE(長野県市町村統計表!$T$7:$T$83,'ランキングツール（長野県市町村）'!B34)</f>
        <v>11260.099606788195</v>
      </c>
      <c r="G34" s="9">
        <v>17</v>
      </c>
      <c r="H34" s="10" t="str">
        <f ca="1">INDEX(長野県市町村統計表!$A$6:$T$83,MATCH('ランキングツール（長野県市町村）'!K34,長野県市町村統計表!$T$6:$T$83,0),1)</f>
        <v>野沢温泉村</v>
      </c>
      <c r="I34" s="11">
        <f t="shared" ca="1" si="23"/>
        <v>1153</v>
      </c>
      <c r="J34" s="4"/>
      <c r="K34" s="4">
        <f ca="1">SMALL(長野県市町村統計表!$T$7:$T$83,'ランキングツール（長野県市町村）'!G34)</f>
        <v>1153.0020588700481</v>
      </c>
    </row>
    <row r="35" spans="2:11" x14ac:dyDescent="0.4">
      <c r="B35" s="9">
        <v>18</v>
      </c>
      <c r="C35" s="10" t="str">
        <f ca="1">INDEX(長野県市町村統計表!$A$6:$T$83,MATCH('ランキングツール（長野県市町村）'!F35,長野県市町村統計表!$T$6:$T$83,0),1)</f>
        <v>大町市</v>
      </c>
      <c r="D35" s="11">
        <f t="shared" ca="1" si="22"/>
        <v>10739</v>
      </c>
      <c r="E35" s="5"/>
      <c r="F35" s="27">
        <f ca="1">LARGE(長野県市町村統計表!$T$7:$T$83,'ランキングツール（長野県市町村）'!B35)</f>
        <v>10739.032430867879</v>
      </c>
      <c r="G35" s="9">
        <v>18</v>
      </c>
      <c r="H35" s="10" t="str">
        <f ca="1">INDEX(長野県市町村統計表!$A$6:$T$83,MATCH('ランキングツール（長野県市町村）'!K35,長野県市町村統計表!$T$6:$T$83,0),1)</f>
        <v>下條村</v>
      </c>
      <c r="I35" s="11">
        <f t="shared" ca="1" si="23"/>
        <v>1160</v>
      </c>
      <c r="J35" s="4"/>
      <c r="K35" s="4">
        <f ca="1">SMALL(長野県市町村統計表!$T$7:$T$83,'ランキングツール（長野県市町村）'!G35)</f>
        <v>1160.0115218611559</v>
      </c>
    </row>
    <row r="36" spans="2:11" x14ac:dyDescent="0.4">
      <c r="B36" s="9">
        <v>19</v>
      </c>
      <c r="C36" s="10" t="str">
        <f ca="1">INDEX(長野県市町村統計表!$A$6:$T$83,MATCH('ランキングツール（長野県市町村）'!F36,長野県市町村統計表!$T$6:$T$83,0),1)</f>
        <v>箕輪町</v>
      </c>
      <c r="D36" s="11">
        <f t="shared" ca="1" si="22"/>
        <v>9504</v>
      </c>
      <c r="E36" s="5"/>
      <c r="F36" s="27">
        <f ca="1">LARGE(長野県市町村統計表!$T$7:$T$83,'ランキングツール（長野県市町村）'!B36)</f>
        <v>9504.0358385848976</v>
      </c>
      <c r="G36" s="9">
        <v>19</v>
      </c>
      <c r="H36" s="10" t="str">
        <f ca="1">INDEX(長野県市町村統計表!$A$6:$T$83,MATCH('ランキングツール（長野県市町村）'!K36,長野県市町村統計表!$T$6:$T$83,0),1)</f>
        <v>川上村</v>
      </c>
      <c r="I36" s="11">
        <f t="shared" ca="1" si="23"/>
        <v>1257</v>
      </c>
      <c r="J36" s="4"/>
      <c r="K36" s="4">
        <f ca="1">SMALL(長野県市町村統計表!$T$7:$T$83,'ランキングツール（長野県市町村）'!G36)</f>
        <v>1257.0042288132886</v>
      </c>
    </row>
    <row r="37" spans="2:11" x14ac:dyDescent="0.4">
      <c r="B37" s="9">
        <v>20</v>
      </c>
      <c r="C37" s="10" t="str">
        <f ca="1">INDEX(長野県市町村統計表!$A$6:$T$83,MATCH('ランキングツール（長野県市町村）'!F37,長野県市町村統計表!$T$6:$T$83,0),1)</f>
        <v>軽井沢町</v>
      </c>
      <c r="D37" s="11">
        <f t="shared" ca="1" si="22"/>
        <v>8586</v>
      </c>
      <c r="E37" s="5"/>
      <c r="F37" s="27">
        <f ca="1">LARGE(長野県市町村統計表!$T$7:$T$83,'ランキングツール（長野県市町村）'!B37)</f>
        <v>8586.0664101924485</v>
      </c>
      <c r="G37" s="9">
        <v>20</v>
      </c>
      <c r="H37" s="10" t="str">
        <f ca="1">INDEX(長野県市町村統計表!$A$6:$T$83,MATCH('ランキングツール（長野県市町村）'!K37,長野県市町村統計表!$T$6:$T$83,0),1)</f>
        <v>朝日村</v>
      </c>
      <c r="I37" s="11">
        <f t="shared" ca="1" si="23"/>
        <v>1474</v>
      </c>
      <c r="J37" s="4"/>
      <c r="K37" s="4">
        <f ca="1">SMALL(長野県市町村統計表!$T$7:$T$83,'ランキングツール（長野県市町村）'!G37)</f>
        <v>1474.0016502480817</v>
      </c>
    </row>
    <row r="38" spans="2:11" x14ac:dyDescent="0.4">
      <c r="B38" s="9">
        <v>21</v>
      </c>
      <c r="C38" s="10" t="str">
        <f ca="1">INDEX(長野県市町村統計表!$A$6:$T$83,MATCH('ランキングツール（長野県市町村）'!F38,長野県市町村統計表!$T$6:$T$83,0),1)</f>
        <v>下諏訪町</v>
      </c>
      <c r="D38" s="11">
        <f t="shared" ca="1" si="22"/>
        <v>7847</v>
      </c>
      <c r="E38" s="5"/>
      <c r="F38" s="27">
        <f ca="1">LARGE(長野県市町村統計表!$T$7:$T$83,'ランキングツール（長野県市町村）'!B38)</f>
        <v>7847.0523424030716</v>
      </c>
      <c r="G38" s="9">
        <v>21</v>
      </c>
      <c r="H38" s="10" t="str">
        <f ca="1">INDEX(長野県市町村統計表!$A$6:$T$83,MATCH('ランキングツール（長野県市町村）'!K38,長野県市町村統計表!$T$6:$T$83,0),1)</f>
        <v>大桑村</v>
      </c>
      <c r="I38" s="11">
        <f t="shared" ca="1" si="23"/>
        <v>1477</v>
      </c>
      <c r="J38" s="4"/>
      <c r="K38" s="4">
        <f ca="1">SMALL(長野県市町村統計表!$T$7:$T$83,'ランキングツール（長野県市町村）'!G38)</f>
        <v>1477.0037204513935</v>
      </c>
    </row>
    <row r="39" spans="2:11" x14ac:dyDescent="0.4">
      <c r="B39" s="9">
        <v>22</v>
      </c>
      <c r="C39" s="10" t="str">
        <f ca="1">INDEX(長野県市町村統計表!$A$6:$T$83,MATCH('ランキングツール（長野県市町村）'!F39,長野県市町村統計表!$T$6:$T$83,0),1)</f>
        <v>辰野町</v>
      </c>
      <c r="D39" s="11">
        <f t="shared" ca="1" si="22"/>
        <v>7258</v>
      </c>
      <c r="E39" s="5"/>
      <c r="F39" s="27">
        <f ca="1">LARGE(長野県市町村統計表!$T$7:$T$83,'ランキングツール（長野県市町村）'!B39)</f>
        <v>7258.070922758915</v>
      </c>
      <c r="G39" s="9">
        <v>22</v>
      </c>
      <c r="H39" s="10" t="str">
        <f ca="1">INDEX(長野県市町村統計表!$A$6:$T$83,MATCH('ランキングツール（長野県市町村）'!K39,長野県市町村統計表!$T$6:$T$83,0),1)</f>
        <v>青木村</v>
      </c>
      <c r="I39" s="11">
        <f t="shared" ca="1" si="23"/>
        <v>1553</v>
      </c>
      <c r="J39" s="4"/>
      <c r="K39" s="4">
        <f ca="1">SMALL(長野県市町村統計表!$T$7:$T$83,'ランキングツール（長野県市町村）'!G39)</f>
        <v>1553.0092050580452</v>
      </c>
    </row>
    <row r="40" spans="2:11" x14ac:dyDescent="0.4">
      <c r="B40" s="9">
        <v>23</v>
      </c>
      <c r="C40" s="10" t="str">
        <f ca="1">INDEX(長野県市町村統計表!$A$6:$T$83,MATCH('ランキングツール（長野県市町村）'!F40,長野県市町村統計表!$T$6:$T$83,0),1)</f>
        <v>飯山市</v>
      </c>
      <c r="D40" s="11">
        <f t="shared" ca="1" si="22"/>
        <v>7251</v>
      </c>
      <c r="E40" s="5"/>
      <c r="F40" s="27">
        <f ca="1">LARGE(長野県市町村統計表!$T$7:$T$83,'ランキングツール（長野県市町村）'!B40)</f>
        <v>7251.0028521667546</v>
      </c>
      <c r="G40" s="9">
        <v>23</v>
      </c>
      <c r="H40" s="10" t="str">
        <f ca="1">INDEX(長野県市町村統計表!$A$6:$T$83,MATCH('ランキングツール（長野県市町村）'!K40,長野県市町村統計表!$T$6:$T$83,0),1)</f>
        <v>木島平村</v>
      </c>
      <c r="I40" s="11">
        <f t="shared" ca="1" si="23"/>
        <v>1567</v>
      </c>
      <c r="J40" s="4"/>
      <c r="K40" s="4">
        <f ca="1">SMALL(長野県市町村統計表!$T$7:$T$83,'ランキングツール（長野県市町村）'!G40)</f>
        <v>1567.0022627380597</v>
      </c>
    </row>
    <row r="41" spans="2:11" x14ac:dyDescent="0.4">
      <c r="B41" s="9">
        <v>24</v>
      </c>
      <c r="C41" s="10" t="str">
        <f ca="1">INDEX(長野県市町村統計表!$A$6:$T$83,MATCH('ランキングツール（長野県市町村）'!F41,長野県市町村統計表!$T$6:$T$83,0),1)</f>
        <v>御代田町</v>
      </c>
      <c r="D41" s="11">
        <f t="shared" ca="1" si="22"/>
        <v>6711</v>
      </c>
      <c r="E41" s="5"/>
      <c r="F41" s="27">
        <f ca="1">LARGE(長野県市町村統計表!$T$7:$T$83,'ランキングツール（長野県市町村）'!B41)</f>
        <v>6711.0349832819884</v>
      </c>
      <c r="G41" s="9">
        <v>24</v>
      </c>
      <c r="H41" s="10" t="str">
        <f ca="1">INDEX(長野県市町村統計表!$A$6:$T$83,MATCH('ランキングツール（長野県市町村）'!K41,長野県市町村統計表!$T$6:$T$83,0),1)</f>
        <v>阿南町</v>
      </c>
      <c r="I41" s="11">
        <f t="shared" ca="1" si="23"/>
        <v>1611</v>
      </c>
      <c r="J41" s="4"/>
      <c r="K41" s="4">
        <f ca="1">SMALL(長野県市町村統計表!$T$7:$T$83,'ランキングツール（長野県市町村）'!G41)</f>
        <v>1611.005422838108</v>
      </c>
    </row>
    <row r="42" spans="2:11" x14ac:dyDescent="0.4">
      <c r="B42" s="9">
        <v>25</v>
      </c>
      <c r="C42" s="10" t="str">
        <f ca="1">INDEX(長野県市町村統計表!$A$6:$T$83,MATCH('ランキングツール（長野県市町村）'!F42,長野県市町村統計表!$T$6:$T$83,0),1)</f>
        <v>南箕輪村</v>
      </c>
      <c r="D42" s="11">
        <f t="shared" ca="1" si="22"/>
        <v>6445</v>
      </c>
      <c r="E42" s="5"/>
      <c r="F42" s="27">
        <f ca="1">LARGE(長野県市町村統計表!$T$7:$T$83,'ランキングツール（長野県市町村）'!B42)</f>
        <v>6445.0019285175658</v>
      </c>
      <c r="G42" s="9">
        <v>25</v>
      </c>
      <c r="H42" s="10" t="str">
        <f ca="1">INDEX(長野県市町村統計表!$A$6:$T$83,MATCH('ランキングツール（長野県市町村）'!K42,長野県市町村統計表!$T$6:$T$83,0),1)</f>
        <v>中川村</v>
      </c>
      <c r="I42" s="11">
        <f t="shared" ca="1" si="23"/>
        <v>1614</v>
      </c>
      <c r="J42" s="4"/>
      <c r="K42" s="4">
        <f ca="1">SMALL(長野県市町村統計表!$T$7:$T$83,'ランキングツール（長野県市町村）'!G42)</f>
        <v>1614.0022592410667</v>
      </c>
    </row>
    <row r="43" spans="2:11" x14ac:dyDescent="0.4">
      <c r="B43" s="9">
        <v>26</v>
      </c>
      <c r="C43" s="10" t="str">
        <f ca="1">INDEX(長野県市町村統計表!$A$6:$T$83,MATCH('ランキングツール（長野県市町村）'!F43,長野県市町村統計表!$T$6:$T$83,0),1)</f>
        <v>富士見町</v>
      </c>
      <c r="D43" s="11">
        <f t="shared" ca="1" si="22"/>
        <v>5610</v>
      </c>
      <c r="E43" s="5"/>
      <c r="F43" s="27">
        <f ca="1">LARGE(長野県市町村統計表!$T$7:$T$83,'ランキングツール（長野県市町村）'!B43)</f>
        <v>5610.0328321923407</v>
      </c>
      <c r="G43" s="9">
        <v>26</v>
      </c>
      <c r="H43" s="10" t="str">
        <f ca="1">INDEX(長野県市町村統計表!$A$6:$T$83,MATCH('ランキングツール（長野県市町村）'!K43,長野県市町村統計表!$T$6:$T$83,0),1)</f>
        <v>南木曽町</v>
      </c>
      <c r="I43" s="11">
        <f t="shared" ca="1" si="23"/>
        <v>1630</v>
      </c>
      <c r="J43" s="4"/>
      <c r="K43" s="4">
        <f ca="1">SMALL(長野県市町村統計表!$T$7:$T$83,'ランキングツール（長野県市町村）'!G43)</f>
        <v>1630.0139257686269</v>
      </c>
    </row>
    <row r="44" spans="2:11" x14ac:dyDescent="0.4">
      <c r="B44" s="9">
        <v>27</v>
      </c>
      <c r="C44" s="10" t="str">
        <f ca="1">INDEX(長野県市町村統計表!$A$6:$T$83,MATCH('ランキングツール（長野県市町村）'!F44,長野県市町村統計表!$T$6:$T$83,0),1)</f>
        <v>坂城町</v>
      </c>
      <c r="D44" s="11">
        <f t="shared" ca="1" si="22"/>
        <v>5461</v>
      </c>
      <c r="E44" s="5"/>
      <c r="F44" s="27">
        <f ca="1">LARGE(長野県市町村統計表!$T$7:$T$83,'ランキングツール（長野県市町村）'!B44)</f>
        <v>5461.0386096381062</v>
      </c>
      <c r="G44" s="9">
        <v>27</v>
      </c>
      <c r="H44" s="10" t="str">
        <f ca="1">INDEX(長野県市町村統計表!$A$6:$T$83,MATCH('ランキングツール（長野県市町村）'!K44,長野県市町村統計表!$T$6:$T$83,0),1)</f>
        <v>筑北村</v>
      </c>
      <c r="I44" s="11">
        <f t="shared" ca="1" si="23"/>
        <v>1687</v>
      </c>
      <c r="J44" s="4"/>
      <c r="K44" s="4">
        <f ca="1">SMALL(長野県市町村統計表!$T$7:$T$83,'ランキングツール（長野県市町村）'!G44)</f>
        <v>1687.0002052631539</v>
      </c>
    </row>
    <row r="45" spans="2:11" x14ac:dyDescent="0.4">
      <c r="B45" s="9">
        <v>28</v>
      </c>
      <c r="C45" s="10" t="str">
        <f ca="1">INDEX(長野県市町村統計表!$A$6:$T$83,MATCH('ランキングツール（長野県市町村）'!F45,長野県市町村統計表!$T$6:$T$83,0),1)</f>
        <v>木曽町</v>
      </c>
      <c r="D45" s="11">
        <f t="shared" ca="1" si="22"/>
        <v>4680</v>
      </c>
      <c r="E45" s="5"/>
      <c r="F45" s="27">
        <f ca="1">LARGE(長野県市町村統計表!$T$7:$T$83,'ランキングツール（長野県市町村）'!B45)</f>
        <v>4680.004882233492</v>
      </c>
      <c r="G45" s="9">
        <v>28</v>
      </c>
      <c r="H45" s="10" t="str">
        <f ca="1">INDEX(長野県市町村統計表!$A$6:$T$83,MATCH('ランキングツール（長野県市町村）'!K45,長野県市町村統計表!$T$6:$T$83,0),1)</f>
        <v>上松町</v>
      </c>
      <c r="I45" s="11">
        <f t="shared" ca="1" si="23"/>
        <v>1785</v>
      </c>
      <c r="J45" s="4"/>
      <c r="K45" s="4">
        <f ca="1">SMALL(長野県市町村統計表!$T$7:$T$83,'ランキングツール（長野県市町村）'!G45)</f>
        <v>1785.0105036516816</v>
      </c>
    </row>
    <row r="46" spans="2:11" x14ac:dyDescent="0.4">
      <c r="B46" s="9">
        <v>29</v>
      </c>
      <c r="C46" s="10" t="str">
        <f ca="1">INDEX(長野県市町村統計表!$A$6:$T$83,MATCH('ランキングツール（長野県市町村）'!F46,長野県市町村統計表!$T$6:$T$83,0),1)</f>
        <v>高森町</v>
      </c>
      <c r="D46" s="11">
        <f t="shared" ca="1" si="22"/>
        <v>4453</v>
      </c>
      <c r="E46" s="5"/>
      <c r="F46" s="27">
        <f ca="1">LARGE(長野県市町村統計表!$T$7:$T$83,'ランキングツール（長野県市町村）'!B46)</f>
        <v>4453.0113593748883</v>
      </c>
      <c r="G46" s="9">
        <v>29</v>
      </c>
      <c r="H46" s="10" t="str">
        <f ca="1">INDEX(長野県市町村統計表!$A$6:$T$83,MATCH('ランキングツール（長野県市町村）'!K46,長野県市町村統計表!$T$6:$T$83,0),1)</f>
        <v>小海町</v>
      </c>
      <c r="I46" s="11">
        <f t="shared" ca="1" si="23"/>
        <v>1788</v>
      </c>
      <c r="J46" s="4"/>
      <c r="K46" s="4">
        <f ca="1">SMALL(長野県市町村統計表!$T$7:$T$83,'ランキングツール（長野県市町村）'!G46)</f>
        <v>1788.010534999486</v>
      </c>
    </row>
    <row r="47" spans="2:11" x14ac:dyDescent="0.4">
      <c r="B47" s="9">
        <v>30</v>
      </c>
      <c r="C47" s="10" t="str">
        <f ca="1">INDEX(長野県市町村統計表!$A$6:$T$83,MATCH('ランキングツール（長野県市町村）'!F47,長野県市町村統計表!$T$6:$T$83,0),1)</f>
        <v>松川町</v>
      </c>
      <c r="D47" s="11">
        <f t="shared" ca="1" si="22"/>
        <v>4428</v>
      </c>
      <c r="E47" s="5"/>
      <c r="F47" s="27">
        <f ca="1">LARGE(長野県市町村統計表!$T$7:$T$83,'ランキングツール（長野県市町村）'!B47)</f>
        <v>4428.0420121233219</v>
      </c>
      <c r="G47" s="9">
        <v>30</v>
      </c>
      <c r="H47" s="10" t="str">
        <f ca="1">INDEX(長野県市町村統計表!$A$6:$T$83,MATCH('ランキングツール（長野県市町村）'!K47,長野県市町村統計表!$T$6:$T$83,0),1)</f>
        <v>喬木村</v>
      </c>
      <c r="I47" s="11">
        <f t="shared" ca="1" si="23"/>
        <v>2036</v>
      </c>
      <c r="J47" s="4"/>
      <c r="K47" s="4">
        <f ca="1">SMALL(長野県市町村統計表!$T$7:$T$83,'ランキングツール（長野県市町村）'!G47)</f>
        <v>2036.0017204041521</v>
      </c>
    </row>
    <row r="48" spans="2:11" x14ac:dyDescent="0.4">
      <c r="B48" s="9">
        <v>31</v>
      </c>
      <c r="C48" s="10" t="str">
        <f ca="1">INDEX(長野県市町村統計表!$A$6:$T$83,MATCH('ランキングツール（長野県市町村）'!F48,長野県市町村統計表!$T$6:$T$83,0),1)</f>
        <v>山ノ内町</v>
      </c>
      <c r="D48" s="11">
        <f t="shared" ca="1" si="22"/>
        <v>4419</v>
      </c>
      <c r="E48" s="5"/>
      <c r="F48" s="27">
        <f ca="1">LARGE(長野県市町村統計表!$T$7:$T$83,'ランキングツール（長野県市町村）'!B48)</f>
        <v>4419.0427442506016</v>
      </c>
      <c r="G48" s="9">
        <v>31</v>
      </c>
      <c r="H48" s="10" t="str">
        <f ca="1">INDEX(長野県市町村統計表!$A$6:$T$83,MATCH('ランキングツール（長野県市町村）'!K48,長野県市町村統計表!$T$6:$T$83,0),1)</f>
        <v>豊丘村</v>
      </c>
      <c r="I48" s="11">
        <f t="shared" ca="1" si="23"/>
        <v>2122</v>
      </c>
      <c r="J48" s="4"/>
      <c r="K48" s="4">
        <f ca="1">SMALL(長野県市町村統計表!$T$7:$T$83,'ランキングツール（長野県市町村）'!G48)</f>
        <v>2122.0120161492282</v>
      </c>
    </row>
    <row r="49" spans="2:11" x14ac:dyDescent="0.4">
      <c r="B49" s="9">
        <v>32</v>
      </c>
      <c r="C49" s="10" t="str">
        <f ca="1">INDEX(長野県市町村統計表!$A$6:$T$83,MATCH('ランキングツール（長野県市町村）'!F49,長野県市町村統計表!$T$6:$T$83,0),1)</f>
        <v>佐久穂町</v>
      </c>
      <c r="D49" s="11">
        <f t="shared" ca="1" si="22"/>
        <v>3922</v>
      </c>
      <c r="E49" s="5"/>
      <c r="F49" s="27">
        <f ca="1">LARGE(長野県市町村統計表!$T$7:$T$83,'ランキングツール（長野県市町村）'!B49)</f>
        <v>3922.0310141469076</v>
      </c>
      <c r="G49" s="9">
        <v>32</v>
      </c>
      <c r="H49" s="10" t="str">
        <f ca="1">INDEX(長野県市町村統計表!$A$6:$T$83,MATCH('ランキングツール（長野県市町村）'!K49,長野県市町村統計表!$T$6:$T$83,0),1)</f>
        <v>阿智村</v>
      </c>
      <c r="I49" s="11">
        <f t="shared" ca="1" si="23"/>
        <v>2152</v>
      </c>
      <c r="J49" s="4"/>
      <c r="K49" s="4">
        <f ca="1">SMALL(長野県市町村統計表!$T$7:$T$83,'ランキングツール（長野県市町村）'!G49)</f>
        <v>2152.017811242556</v>
      </c>
    </row>
    <row r="50" spans="2:11" x14ac:dyDescent="0.4">
      <c r="B50" s="9">
        <v>33</v>
      </c>
      <c r="C50" s="10" t="str">
        <f ca="1">INDEX(長野県市町村統計表!$A$6:$T$83,MATCH('ランキングツール（長野県市町村）'!F50,長野県市町村統計表!$T$6:$T$83,0),1)</f>
        <v>飯綱町</v>
      </c>
      <c r="D50" s="11">
        <f t="shared" ca="1" si="22"/>
        <v>3767</v>
      </c>
      <c r="E50" s="5"/>
      <c r="F50" s="27">
        <f ca="1">LARGE(長野県市町村統計表!$T$7:$T$83,'ランキングツール（長野県市町村）'!B50)</f>
        <v>3767.003558444836</v>
      </c>
      <c r="G50" s="9">
        <v>33</v>
      </c>
      <c r="H50" s="10" t="str">
        <f ca="1">INDEX(長野県市町村統計表!$A$6:$T$83,MATCH('ランキングツール（長野県市町村）'!K50,長野県市町村統計表!$T$6:$T$83,0),1)</f>
        <v>長和町</v>
      </c>
      <c r="I50" s="11">
        <f t="shared" ca="1" si="23"/>
        <v>2318</v>
      </c>
      <c r="J50" s="4"/>
      <c r="K50" s="4">
        <f ca="1">SMALL(長野県市町村統計表!$T$7:$T$83,'ランキングツール（長野県市町村）'!G50)</f>
        <v>2318.0152651545759</v>
      </c>
    </row>
    <row r="51" spans="2:11" x14ac:dyDescent="0.4">
      <c r="B51" s="9">
        <v>34</v>
      </c>
      <c r="C51" s="10" t="str">
        <f ca="1">INDEX(長野県市町村統計表!$A$6:$T$83,MATCH('ランキングツール（長野県市町村）'!F51,長野県市町村統計表!$T$6:$T$83,0),1)</f>
        <v>白馬村</v>
      </c>
      <c r="D51" s="11">
        <f t="shared" ca="1" si="22"/>
        <v>3709</v>
      </c>
      <c r="E51" s="5"/>
      <c r="F51" s="27">
        <f ca="1">LARGE(長野県市町村統計表!$T$7:$T$83,'ランキングツール（長野県市町村）'!B51)</f>
        <v>3709.0193448869727</v>
      </c>
      <c r="G51" s="9">
        <v>34</v>
      </c>
      <c r="H51" s="10" t="str">
        <f ca="1">INDEX(長野県市町村統計表!$A$6:$T$83,MATCH('ランキングツール（長野県市町村）'!K51,長野県市町村統計表!$T$6:$T$83,0),1)</f>
        <v>高山村</v>
      </c>
      <c r="I51" s="11">
        <f t="shared" ca="1" si="23"/>
        <v>2321</v>
      </c>
      <c r="J51" s="4"/>
      <c r="K51" s="4">
        <f ca="1">SMALL(長野県市町村統計表!$T$7:$T$83,'ランキングツール（長野県市町村）'!G51)</f>
        <v>2321.0026633105786</v>
      </c>
    </row>
    <row r="52" spans="2:11" x14ac:dyDescent="0.4">
      <c r="B52" s="9">
        <v>35</v>
      </c>
      <c r="C52" s="10" t="str">
        <f ca="1">INDEX(長野県市町村統計表!$A$6:$T$83,MATCH('ランキングツール（長野県市町村）'!F52,長野県市町村統計表!$T$6:$T$83,0),1)</f>
        <v>小布施町</v>
      </c>
      <c r="D52" s="11">
        <f t="shared" ca="1" si="22"/>
        <v>3680</v>
      </c>
      <c r="E52" s="5"/>
      <c r="F52" s="27">
        <f ca="1">LARGE(長野県市町村統計表!$T$7:$T$83,'ランキングツール（長野県市町村）'!B52)</f>
        <v>3680.0087755214513</v>
      </c>
      <c r="G52" s="9">
        <v>35</v>
      </c>
      <c r="H52" s="10" t="str">
        <f ca="1">INDEX(長野県市町村統計表!$A$6:$T$83,MATCH('ランキングツール（長野県市町村）'!K52,長野県市町村統計表!$T$6:$T$83,0),1)</f>
        <v>立科町</v>
      </c>
      <c r="I52" s="11">
        <f t="shared" ca="1" si="23"/>
        <v>2606</v>
      </c>
      <c r="J52" s="4"/>
      <c r="K52" s="4">
        <f ca="1">SMALL(長野県市町村統計表!$T$7:$T$83,'ランキングツール（長野県市町村）'!G52)</f>
        <v>2606.0068409032701</v>
      </c>
    </row>
    <row r="53" spans="2:11" x14ac:dyDescent="0.4">
      <c r="B53" s="9">
        <v>36</v>
      </c>
      <c r="C53" s="10" t="str">
        <f ca="1">INDEX(長野県市町村統計表!$A$6:$T$83,MATCH('ランキングツール（長野県市町村）'!F53,長野県市町村統計表!$T$6:$T$83,0),1)</f>
        <v>松川村</v>
      </c>
      <c r="D53" s="11">
        <f t="shared" ca="1" si="22"/>
        <v>3577</v>
      </c>
      <c r="E53" s="5"/>
      <c r="F53" s="27">
        <f ca="1">LARGE(長野県市町村統計表!$T$7:$T$83,'ランキングツール（長野県市町村）'!B53)</f>
        <v>3577.0090854041828</v>
      </c>
      <c r="G53" s="9">
        <v>36</v>
      </c>
      <c r="H53" s="10" t="str">
        <f ca="1">INDEX(長野県市町村統計表!$A$6:$T$83,MATCH('ランキングツール（長野県市町村）'!K53,長野県市町村統計表!$T$6:$T$83,0),1)</f>
        <v>原村</v>
      </c>
      <c r="I53" s="11">
        <f t="shared" ca="1" si="23"/>
        <v>2895</v>
      </c>
      <c r="J53" s="4"/>
      <c r="K53" s="4">
        <f ca="1">SMALL(長野県市町村統計表!$T$7:$T$83,'ランキングツール（長野県市町村）'!G53)</f>
        <v>2895.004339616105</v>
      </c>
    </row>
    <row r="54" spans="2:11" x14ac:dyDescent="0.4">
      <c r="B54" s="9">
        <v>37</v>
      </c>
      <c r="C54" s="10" t="str">
        <f ca="1">INDEX(長野県市町村統計表!$A$6:$T$83,MATCH('ランキングツール（長野県市町村）'!F54,長野県市町村統計表!$T$6:$T$83,0),1)</f>
        <v>池田町</v>
      </c>
      <c r="D54" s="11">
        <f t="shared" ca="1" si="22"/>
        <v>3543</v>
      </c>
      <c r="E54" s="5"/>
      <c r="F54" s="27">
        <f ca="1">LARGE(長野県市町村統計表!$T$7:$T$83,'ランキングツール（長野県市町村）'!B54)</f>
        <v>3543.0151409472815</v>
      </c>
      <c r="G54" s="9">
        <v>37</v>
      </c>
      <c r="H54" s="10" t="str">
        <f ca="1">INDEX(長野県市町村統計表!$A$6:$T$83,MATCH('ランキングツール（長野県市町村）'!K54,長野県市町村統計表!$T$6:$T$83,0),1)</f>
        <v>山形村</v>
      </c>
      <c r="I54" s="11">
        <f t="shared" ca="1" si="23"/>
        <v>3012</v>
      </c>
      <c r="J54" s="4"/>
      <c r="K54" s="4">
        <f ca="1">SMALL(長野県市町村統計表!$T$7:$T$83,'ランキングツール（長野県市町村）'!G54)</f>
        <v>3012.0294466822288</v>
      </c>
    </row>
    <row r="55" spans="2:11" x14ac:dyDescent="0.4">
      <c r="B55" s="9">
        <v>38</v>
      </c>
      <c r="C55" s="10" t="str">
        <f ca="1">INDEX(長野県市町村統計表!$A$6:$T$83,MATCH('ランキングツール（長野県市町村）'!F55,長野県市町村統計表!$T$6:$T$83,0),1)</f>
        <v>飯島町</v>
      </c>
      <c r="D55" s="11">
        <f t="shared" ca="1" si="22"/>
        <v>3391</v>
      </c>
      <c r="E55" s="5"/>
      <c r="F55" s="27">
        <f ca="1">LARGE(長野県市町村統計表!$T$7:$T$83,'ランキングツール（長野県市町村）'!B55)</f>
        <v>3391.0270874117355</v>
      </c>
      <c r="G55" s="9">
        <v>38</v>
      </c>
      <c r="H55" s="10" t="str">
        <f ca="1">INDEX(長野県市町村統計表!$A$6:$T$83,MATCH('ランキングツール（長野県市町村）'!K55,長野県市町村統計表!$T$6:$T$83,0),1)</f>
        <v>信濃町</v>
      </c>
      <c r="I55" s="11">
        <f t="shared" ca="1" si="23"/>
        <v>3062</v>
      </c>
      <c r="J55" s="4"/>
      <c r="K55" s="4">
        <f ca="1">SMALL(長野県市町村統計表!$T$7:$T$83,'ランキングツール（長野県市町村）'!G55)</f>
        <v>3062.0217316508674</v>
      </c>
    </row>
    <row r="56" spans="2:11" x14ac:dyDescent="0.4">
      <c r="B56" s="9">
        <v>39</v>
      </c>
      <c r="C56" s="10" t="str">
        <f ca="1">INDEX(長野県市町村統計表!$A$6:$T$83,MATCH('ランキングツール（長野県市町村）'!F56,長野県市町村統計表!$T$6:$T$83,0),1)</f>
        <v>宮田村</v>
      </c>
      <c r="D56" s="11">
        <f t="shared" ca="1" si="22"/>
        <v>3279</v>
      </c>
      <c r="E56" s="5"/>
      <c r="F56" s="27">
        <f ca="1">LARGE(長野県市町村統計表!$T$7:$T$83,'ランキングツール（長野県市町村）'!B56)</f>
        <v>3279.021840672186</v>
      </c>
      <c r="G56" s="9">
        <v>39</v>
      </c>
      <c r="H56" s="10" t="str">
        <f ca="1">INDEX(長野県市町村統計表!$A$6:$T$83,MATCH('ランキングツール（長野県市町村）'!K56,長野県市町村統計表!$T$6:$T$83,0),1)</f>
        <v>宮田村</v>
      </c>
      <c r="I56" s="11">
        <f t="shared" ca="1" si="23"/>
        <v>3279</v>
      </c>
      <c r="J56" s="4"/>
      <c r="K56" s="4">
        <f ca="1">SMALL(長野県市町村統計表!$T$7:$T$83,'ランキングツール（長野県市町村）'!G56)</f>
        <v>3279.021840672186</v>
      </c>
    </row>
    <row r="57" spans="2:11" x14ac:dyDescent="0.4">
      <c r="B57" s="9">
        <v>40</v>
      </c>
      <c r="C57" s="10" t="str">
        <f ca="1">INDEX(長野県市町村統計表!$A$6:$T$83,MATCH('ランキングツール（長野県市町村）'!F57,長野県市町村統計表!$T$6:$T$83,0),1)</f>
        <v>信濃町</v>
      </c>
      <c r="D57" s="11">
        <f t="shared" ca="1" si="22"/>
        <v>3062</v>
      </c>
      <c r="E57" s="5"/>
      <c r="F57" s="27">
        <f ca="1">LARGE(長野県市町村統計表!$T$7:$T$83,'ランキングツール（長野県市町村）'!B57)</f>
        <v>3062.0217316508674</v>
      </c>
      <c r="G57" s="9">
        <v>40</v>
      </c>
      <c r="H57" s="10" t="str">
        <f ca="1">INDEX(長野県市町村統計表!$A$6:$T$83,MATCH('ランキングツール（長野県市町村）'!K57,長野県市町村統計表!$T$6:$T$83,0),1)</f>
        <v>飯島町</v>
      </c>
      <c r="I57" s="11">
        <f t="shared" ca="1" si="23"/>
        <v>3391</v>
      </c>
      <c r="J57" s="4"/>
      <c r="K57" s="4">
        <f ca="1">SMALL(長野県市町村統計表!$T$7:$T$83,'ランキングツール（長野県市町村）'!G57)</f>
        <v>3391.0270874117355</v>
      </c>
    </row>
    <row r="58" spans="2:11" x14ac:dyDescent="0.4">
      <c r="B58" s="9">
        <v>41</v>
      </c>
      <c r="C58" s="10" t="str">
        <f ca="1">INDEX(長野県市町村統計表!$A$6:$T$83,MATCH('ランキングツール（長野県市町村）'!F58,長野県市町村統計表!$T$6:$T$83,0),1)</f>
        <v>山形村</v>
      </c>
      <c r="D58" s="11">
        <f t="shared" ca="1" si="22"/>
        <v>3012</v>
      </c>
      <c r="E58" s="5"/>
      <c r="F58" s="27">
        <f ca="1">LARGE(長野県市町村統計表!$T$7:$T$83,'ランキングツール（長野県市町村）'!B58)</f>
        <v>3012.0294466822288</v>
      </c>
      <c r="G58" s="9">
        <v>41</v>
      </c>
      <c r="H58" s="10" t="str">
        <f ca="1">INDEX(長野県市町村統計表!$A$6:$T$83,MATCH('ランキングツール（長野県市町村）'!K58,長野県市町村統計表!$T$6:$T$83,0),1)</f>
        <v>池田町</v>
      </c>
      <c r="I58" s="11">
        <f t="shared" ca="1" si="23"/>
        <v>3543</v>
      </c>
      <c r="J58" s="4"/>
      <c r="K58" s="4">
        <f ca="1">SMALL(長野県市町村統計表!$T$7:$T$83,'ランキングツール（長野県市町村）'!G58)</f>
        <v>3543.0151409472815</v>
      </c>
    </row>
    <row r="59" spans="2:11" x14ac:dyDescent="0.4">
      <c r="B59" s="9">
        <v>42</v>
      </c>
      <c r="C59" s="10" t="str">
        <f ca="1">INDEX(長野県市町村統計表!$A$6:$T$83,MATCH('ランキングツール（長野県市町村）'!F59,長野県市町村統計表!$T$6:$T$83,0),1)</f>
        <v>原村</v>
      </c>
      <c r="D59" s="11">
        <f t="shared" ca="1" si="22"/>
        <v>2895</v>
      </c>
      <c r="E59" s="5"/>
      <c r="F59" s="27">
        <f ca="1">LARGE(長野県市町村統計表!$T$7:$T$83,'ランキングツール（長野県市町村）'!B59)</f>
        <v>2895.004339616105</v>
      </c>
      <c r="G59" s="9">
        <v>42</v>
      </c>
      <c r="H59" s="10" t="str">
        <f ca="1">INDEX(長野県市町村統計表!$A$6:$T$83,MATCH('ランキングツール（長野県市町村）'!K59,長野県市町村統計表!$T$6:$T$83,0),1)</f>
        <v>松川村</v>
      </c>
      <c r="I59" s="11">
        <f t="shared" ca="1" si="23"/>
        <v>3577</v>
      </c>
      <c r="J59" s="4"/>
      <c r="K59" s="4">
        <f ca="1">SMALL(長野県市町村統計表!$T$7:$T$83,'ランキングツール（長野県市町村）'!G59)</f>
        <v>3577.0090854041828</v>
      </c>
    </row>
    <row r="60" spans="2:11" x14ac:dyDescent="0.4">
      <c r="B60" s="9">
        <v>43</v>
      </c>
      <c r="C60" s="10" t="str">
        <f ca="1">INDEX(長野県市町村統計表!$A$6:$T$83,MATCH('ランキングツール（長野県市町村）'!F60,長野県市町村統計表!$T$6:$T$83,0),1)</f>
        <v>立科町</v>
      </c>
      <c r="D60" s="11">
        <f t="shared" ca="1" si="22"/>
        <v>2606</v>
      </c>
      <c r="E60" s="5"/>
      <c r="F60" s="27">
        <f ca="1">LARGE(長野県市町村統計表!$T$7:$T$83,'ランキングツール（長野県市町村）'!B60)</f>
        <v>2606.0068409032701</v>
      </c>
      <c r="G60" s="9">
        <v>43</v>
      </c>
      <c r="H60" s="10" t="str">
        <f ca="1">INDEX(長野県市町村統計表!$A$6:$T$83,MATCH('ランキングツール（長野県市町村）'!K60,長野県市町村統計表!$T$6:$T$83,0),1)</f>
        <v>小布施町</v>
      </c>
      <c r="I60" s="11">
        <f t="shared" ca="1" si="23"/>
        <v>3680</v>
      </c>
      <c r="J60" s="4"/>
      <c r="K60" s="4">
        <f ca="1">SMALL(長野県市町村統計表!$T$7:$T$83,'ランキングツール（長野県市町村）'!G60)</f>
        <v>3680.0087755214513</v>
      </c>
    </row>
    <row r="61" spans="2:11" x14ac:dyDescent="0.4">
      <c r="B61" s="9">
        <v>44</v>
      </c>
      <c r="C61" s="10" t="str">
        <f ca="1">INDEX(長野県市町村統計表!$A$6:$T$83,MATCH('ランキングツール（長野県市町村）'!F61,長野県市町村統計表!$T$6:$T$83,0),1)</f>
        <v>高山村</v>
      </c>
      <c r="D61" s="11">
        <f t="shared" ca="1" si="22"/>
        <v>2321</v>
      </c>
      <c r="E61" s="5"/>
      <c r="F61" s="27">
        <f ca="1">LARGE(長野県市町村統計表!$T$7:$T$83,'ランキングツール（長野県市町村）'!B61)</f>
        <v>2321.0026633105786</v>
      </c>
      <c r="G61" s="9">
        <v>44</v>
      </c>
      <c r="H61" s="10" t="str">
        <f ca="1">INDEX(長野県市町村統計表!$A$6:$T$83,MATCH('ランキングツール（長野県市町村）'!K61,長野県市町村統計表!$T$6:$T$83,0),1)</f>
        <v>白馬村</v>
      </c>
      <c r="I61" s="11">
        <f t="shared" ca="1" si="23"/>
        <v>3709</v>
      </c>
      <c r="J61" s="4"/>
      <c r="K61" s="4">
        <f ca="1">SMALL(長野県市町村統計表!$T$7:$T$83,'ランキングツール（長野県市町村）'!G61)</f>
        <v>3709.0193448869727</v>
      </c>
    </row>
    <row r="62" spans="2:11" x14ac:dyDescent="0.4">
      <c r="B62" s="9">
        <v>45</v>
      </c>
      <c r="C62" s="10" t="str">
        <f ca="1">INDEX(長野県市町村統計表!$A$6:$T$83,MATCH('ランキングツール（長野県市町村）'!F62,長野県市町村統計表!$T$6:$T$83,0),1)</f>
        <v>長和町</v>
      </c>
      <c r="D62" s="11">
        <f t="shared" ca="1" si="22"/>
        <v>2318</v>
      </c>
      <c r="E62" s="5"/>
      <c r="F62" s="27">
        <f ca="1">LARGE(長野県市町村統計表!$T$7:$T$83,'ランキングツール（長野県市町村）'!B62)</f>
        <v>2318.0152651545759</v>
      </c>
      <c r="G62" s="9">
        <v>45</v>
      </c>
      <c r="H62" s="10" t="str">
        <f ca="1">INDEX(長野県市町村統計表!$A$6:$T$83,MATCH('ランキングツール（長野県市町村）'!K62,長野県市町村統計表!$T$6:$T$83,0),1)</f>
        <v>飯綱町</v>
      </c>
      <c r="I62" s="11">
        <f t="shared" ca="1" si="23"/>
        <v>3767</v>
      </c>
      <c r="J62" s="4"/>
      <c r="K62" s="4">
        <f ca="1">SMALL(長野県市町村統計表!$T$7:$T$83,'ランキングツール（長野県市町村）'!G62)</f>
        <v>3767.003558444836</v>
      </c>
    </row>
    <row r="63" spans="2:11" x14ac:dyDescent="0.4">
      <c r="B63" s="9">
        <v>46</v>
      </c>
      <c r="C63" s="10" t="str">
        <f ca="1">INDEX(長野県市町村統計表!$A$6:$T$83,MATCH('ランキングツール（長野県市町村）'!F63,長野県市町村統計表!$T$6:$T$83,0),1)</f>
        <v>阿智村</v>
      </c>
      <c r="D63" s="11">
        <f t="shared" ca="1" si="22"/>
        <v>2152</v>
      </c>
      <c r="E63" s="5"/>
      <c r="F63" s="27">
        <f ca="1">LARGE(長野県市町村統計表!$T$7:$T$83,'ランキングツール（長野県市町村）'!B63)</f>
        <v>2152.017811242556</v>
      </c>
      <c r="G63" s="9">
        <v>46</v>
      </c>
      <c r="H63" s="10" t="str">
        <f ca="1">INDEX(長野県市町村統計表!$A$6:$T$83,MATCH('ランキングツール（長野県市町村）'!K63,長野県市町村統計表!$T$6:$T$83,0),1)</f>
        <v>佐久穂町</v>
      </c>
      <c r="I63" s="11">
        <f t="shared" ca="1" si="23"/>
        <v>3922</v>
      </c>
      <c r="J63" s="4"/>
      <c r="K63" s="4">
        <f ca="1">SMALL(長野県市町村統計表!$T$7:$T$83,'ランキングツール（長野県市町村）'!G63)</f>
        <v>3922.0310141469076</v>
      </c>
    </row>
    <row r="64" spans="2:11" x14ac:dyDescent="0.4">
      <c r="B64" s="9">
        <v>47</v>
      </c>
      <c r="C64" s="10" t="str">
        <f ca="1">INDEX(長野県市町村統計表!$A$6:$T$83,MATCH('ランキングツール（長野県市町村）'!F64,長野県市町村統計表!$T$6:$T$83,0),1)</f>
        <v>豊丘村</v>
      </c>
      <c r="D64" s="11">
        <f t="shared" ca="1" si="22"/>
        <v>2122</v>
      </c>
      <c r="E64" s="5"/>
      <c r="F64" s="27">
        <f ca="1">LARGE(長野県市町村統計表!$T$7:$T$83,'ランキングツール（長野県市町村）'!B64)</f>
        <v>2122.0120161492282</v>
      </c>
      <c r="G64" s="9">
        <v>47</v>
      </c>
      <c r="H64" s="10" t="str">
        <f ca="1">INDEX(長野県市町村統計表!$A$6:$T$83,MATCH('ランキングツール（長野県市町村）'!K64,長野県市町村統計表!$T$6:$T$83,0),1)</f>
        <v>山ノ内町</v>
      </c>
      <c r="I64" s="11">
        <f t="shared" ca="1" si="23"/>
        <v>4419</v>
      </c>
      <c r="J64" s="4"/>
      <c r="K64" s="4">
        <f ca="1">SMALL(長野県市町村統計表!$T$7:$T$83,'ランキングツール（長野県市町村）'!G64)</f>
        <v>4419.0427442506016</v>
      </c>
    </row>
    <row r="65" spans="2:11" x14ac:dyDescent="0.4">
      <c r="B65" s="9">
        <v>48</v>
      </c>
      <c r="C65" s="10" t="str">
        <f ca="1">INDEX(長野県市町村統計表!$A$6:$T$83,MATCH('ランキングツール（長野県市町村）'!F65,長野県市町村統計表!$T$6:$T$83,0),1)</f>
        <v>喬木村</v>
      </c>
      <c r="D65" s="11">
        <f t="shared" ca="1" si="22"/>
        <v>2036</v>
      </c>
      <c r="E65" s="5"/>
      <c r="F65" s="27">
        <f ca="1">LARGE(長野県市町村統計表!$T$7:$T$83,'ランキングツール（長野県市町村）'!B65)</f>
        <v>2036.0017204041521</v>
      </c>
      <c r="G65" s="9">
        <v>48</v>
      </c>
      <c r="H65" s="10" t="str">
        <f ca="1">INDEX(長野県市町村統計表!$A$6:$T$83,MATCH('ランキングツール（長野県市町村）'!K65,長野県市町村統計表!$T$6:$T$83,0),1)</f>
        <v>松川町</v>
      </c>
      <c r="I65" s="11">
        <f t="shared" ca="1" si="23"/>
        <v>4428</v>
      </c>
      <c r="J65" s="4"/>
      <c r="K65" s="4">
        <f ca="1">SMALL(長野県市町村統計表!$T$7:$T$83,'ランキングツール（長野県市町村）'!G65)</f>
        <v>4428.0420121233219</v>
      </c>
    </row>
    <row r="66" spans="2:11" x14ac:dyDescent="0.4">
      <c r="B66" s="9">
        <v>49</v>
      </c>
      <c r="C66" s="10" t="str">
        <f ca="1">INDEX(長野県市町村統計表!$A$6:$T$83,MATCH('ランキングツール（長野県市町村）'!F66,長野県市町村統計表!$T$6:$T$83,0),1)</f>
        <v>小海町</v>
      </c>
      <c r="D66" s="11">
        <f t="shared" ca="1" si="22"/>
        <v>1788</v>
      </c>
      <c r="E66" s="5"/>
      <c r="F66" s="27">
        <f ca="1">LARGE(長野県市町村統計表!$T$7:$T$83,'ランキングツール（長野県市町村）'!B66)</f>
        <v>1788.010534999486</v>
      </c>
      <c r="G66" s="9">
        <v>49</v>
      </c>
      <c r="H66" s="10" t="str">
        <f ca="1">INDEX(長野県市町村統計表!$A$6:$T$83,MATCH('ランキングツール（長野県市町村）'!K66,長野県市町村統計表!$T$6:$T$83,0),1)</f>
        <v>高森町</v>
      </c>
      <c r="I66" s="11">
        <f t="shared" ca="1" si="23"/>
        <v>4453</v>
      </c>
      <c r="J66" s="4"/>
      <c r="K66" s="4">
        <f ca="1">SMALL(長野県市町村統計表!$T$7:$T$83,'ランキングツール（長野県市町村）'!G66)</f>
        <v>4453.0113593748883</v>
      </c>
    </row>
    <row r="67" spans="2:11" x14ac:dyDescent="0.4">
      <c r="B67" s="9">
        <v>50</v>
      </c>
      <c r="C67" s="10" t="str">
        <f ca="1">INDEX(長野県市町村統計表!$A$6:$T$83,MATCH('ランキングツール（長野県市町村）'!F67,長野県市町村統計表!$T$6:$T$83,0),1)</f>
        <v>上松町</v>
      </c>
      <c r="D67" s="11">
        <f t="shared" ca="1" si="22"/>
        <v>1785</v>
      </c>
      <c r="E67" s="5"/>
      <c r="F67" s="27">
        <f ca="1">LARGE(長野県市町村統計表!$T$7:$T$83,'ランキングツール（長野県市町村）'!B67)</f>
        <v>1785.0105036516816</v>
      </c>
      <c r="G67" s="9">
        <v>50</v>
      </c>
      <c r="H67" s="10" t="str">
        <f ca="1">INDEX(長野県市町村統計表!$A$6:$T$83,MATCH('ランキングツール（長野県市町村）'!K67,長野県市町村統計表!$T$6:$T$83,0),1)</f>
        <v>木曽町</v>
      </c>
      <c r="I67" s="11">
        <f t="shared" ca="1" si="23"/>
        <v>4680</v>
      </c>
      <c r="J67" s="4"/>
      <c r="K67" s="4">
        <f ca="1">SMALL(長野県市町村統計表!$T$7:$T$83,'ランキングツール（長野県市町村）'!G67)</f>
        <v>4680.004882233492</v>
      </c>
    </row>
    <row r="68" spans="2:11" x14ac:dyDescent="0.4">
      <c r="B68" s="9">
        <v>51</v>
      </c>
      <c r="C68" s="10" t="str">
        <f ca="1">INDEX(長野県市町村統計表!$A$6:$T$83,MATCH('ランキングツール（長野県市町村）'!F68,長野県市町村統計表!$T$6:$T$83,0),1)</f>
        <v>筑北村</v>
      </c>
      <c r="D68" s="11">
        <f t="shared" ca="1" si="22"/>
        <v>1687</v>
      </c>
      <c r="E68" s="5"/>
      <c r="F68" s="27">
        <f ca="1">LARGE(長野県市町村統計表!$T$7:$T$83,'ランキングツール（長野県市町村）'!B68)</f>
        <v>1687.0002052631539</v>
      </c>
      <c r="G68" s="9">
        <v>51</v>
      </c>
      <c r="H68" s="10" t="str">
        <f ca="1">INDEX(長野県市町村統計表!$A$6:$T$83,MATCH('ランキングツール（長野県市町村）'!K68,長野県市町村統計表!$T$6:$T$83,0),1)</f>
        <v>坂城町</v>
      </c>
      <c r="I68" s="11">
        <f t="shared" ca="1" si="23"/>
        <v>5461</v>
      </c>
      <c r="J68" s="4"/>
      <c r="K68" s="4">
        <f ca="1">SMALL(長野県市町村統計表!$T$7:$T$83,'ランキングツール（長野県市町村）'!G68)</f>
        <v>5461.0386096381062</v>
      </c>
    </row>
    <row r="69" spans="2:11" x14ac:dyDescent="0.4">
      <c r="B69" s="9">
        <v>52</v>
      </c>
      <c r="C69" s="10" t="str">
        <f ca="1">INDEX(長野県市町村統計表!$A$6:$T$83,MATCH('ランキングツール（長野県市町村）'!F69,長野県市町村統計表!$T$6:$T$83,0),1)</f>
        <v>南木曽町</v>
      </c>
      <c r="D69" s="11">
        <f t="shared" ca="1" si="22"/>
        <v>1630</v>
      </c>
      <c r="E69" s="5"/>
      <c r="F69" s="27">
        <f ca="1">LARGE(長野県市町村統計表!$T$7:$T$83,'ランキングツール（長野県市町村）'!B69)</f>
        <v>1630.0139257686269</v>
      </c>
      <c r="G69" s="9">
        <v>52</v>
      </c>
      <c r="H69" s="10" t="str">
        <f ca="1">INDEX(長野県市町村統計表!$A$6:$T$83,MATCH('ランキングツール（長野県市町村）'!K69,長野県市町村統計表!$T$6:$T$83,0),1)</f>
        <v>富士見町</v>
      </c>
      <c r="I69" s="11">
        <f t="shared" ca="1" si="23"/>
        <v>5610</v>
      </c>
      <c r="J69" s="4"/>
      <c r="K69" s="4">
        <f ca="1">SMALL(長野県市町村統計表!$T$7:$T$83,'ランキングツール（長野県市町村）'!G69)</f>
        <v>5610.0328321923407</v>
      </c>
    </row>
    <row r="70" spans="2:11" x14ac:dyDescent="0.4">
      <c r="B70" s="9">
        <v>53</v>
      </c>
      <c r="C70" s="10" t="str">
        <f ca="1">INDEX(長野県市町村統計表!$A$6:$T$83,MATCH('ランキングツール（長野県市町村）'!F70,長野県市町村統計表!$T$6:$T$83,0),1)</f>
        <v>中川村</v>
      </c>
      <c r="D70" s="11">
        <f t="shared" ca="1" si="22"/>
        <v>1614</v>
      </c>
      <c r="E70" s="5"/>
      <c r="F70" s="27">
        <f ca="1">LARGE(長野県市町村統計表!$T$7:$T$83,'ランキングツール（長野県市町村）'!B70)</f>
        <v>1614.0022592410667</v>
      </c>
      <c r="G70" s="9">
        <v>53</v>
      </c>
      <c r="H70" s="10" t="str">
        <f ca="1">INDEX(長野県市町村統計表!$A$6:$T$83,MATCH('ランキングツール（長野県市町村）'!K70,長野県市町村統計表!$T$6:$T$83,0),1)</f>
        <v>南箕輪村</v>
      </c>
      <c r="I70" s="11">
        <f t="shared" ca="1" si="23"/>
        <v>6445</v>
      </c>
      <c r="J70" s="4"/>
      <c r="K70" s="4">
        <f ca="1">SMALL(長野県市町村統計表!$T$7:$T$83,'ランキングツール（長野県市町村）'!G70)</f>
        <v>6445.0019285175658</v>
      </c>
    </row>
    <row r="71" spans="2:11" x14ac:dyDescent="0.4">
      <c r="B71" s="9">
        <v>54</v>
      </c>
      <c r="C71" s="10" t="str">
        <f ca="1">INDEX(長野県市町村統計表!$A$6:$T$83,MATCH('ランキングツール（長野県市町村）'!F71,長野県市町村統計表!$T$6:$T$83,0),1)</f>
        <v>阿南町</v>
      </c>
      <c r="D71" s="11">
        <f t="shared" ca="1" si="22"/>
        <v>1611</v>
      </c>
      <c r="E71" s="5"/>
      <c r="F71" s="27">
        <f ca="1">LARGE(長野県市町村統計表!$T$7:$T$83,'ランキングツール（長野県市町村）'!B71)</f>
        <v>1611.005422838108</v>
      </c>
      <c r="G71" s="9">
        <v>54</v>
      </c>
      <c r="H71" s="10" t="str">
        <f ca="1">INDEX(長野県市町村統計表!$A$6:$T$83,MATCH('ランキングツール（長野県市町村）'!K71,長野県市町村統計表!$T$6:$T$83,0),1)</f>
        <v>御代田町</v>
      </c>
      <c r="I71" s="11">
        <f t="shared" ca="1" si="23"/>
        <v>6711</v>
      </c>
      <c r="J71" s="4"/>
      <c r="K71" s="4">
        <f ca="1">SMALL(長野県市町村統計表!$T$7:$T$83,'ランキングツール（長野県市町村）'!G71)</f>
        <v>6711.0349832819884</v>
      </c>
    </row>
    <row r="72" spans="2:11" x14ac:dyDescent="0.4">
      <c r="B72" s="9">
        <v>55</v>
      </c>
      <c r="C72" s="10" t="str">
        <f ca="1">INDEX(長野県市町村統計表!$A$6:$T$83,MATCH('ランキングツール（長野県市町村）'!F72,長野県市町村統計表!$T$6:$T$83,0),1)</f>
        <v>木島平村</v>
      </c>
      <c r="D72" s="11">
        <f t="shared" ca="1" si="22"/>
        <v>1567</v>
      </c>
      <c r="E72" s="5"/>
      <c r="F72" s="27">
        <f ca="1">LARGE(長野県市町村統計表!$T$7:$T$83,'ランキングツール（長野県市町村）'!B72)</f>
        <v>1567.0022627380597</v>
      </c>
      <c r="G72" s="9">
        <v>55</v>
      </c>
      <c r="H72" s="10" t="str">
        <f ca="1">INDEX(長野県市町村統計表!$A$6:$T$83,MATCH('ランキングツール（長野県市町村）'!K72,長野県市町村統計表!$T$6:$T$83,0),1)</f>
        <v>飯山市</v>
      </c>
      <c r="I72" s="11">
        <f t="shared" ca="1" si="23"/>
        <v>7251</v>
      </c>
      <c r="J72" s="4"/>
      <c r="K72" s="4">
        <f ca="1">SMALL(長野県市町村統計表!$T$7:$T$83,'ランキングツール（長野県市町村）'!G72)</f>
        <v>7251.0028521667546</v>
      </c>
    </row>
    <row r="73" spans="2:11" x14ac:dyDescent="0.4">
      <c r="B73" s="9">
        <v>56</v>
      </c>
      <c r="C73" s="10" t="str">
        <f ca="1">INDEX(長野県市町村統計表!$A$6:$T$83,MATCH('ランキングツール（長野県市町村）'!F73,長野県市町村統計表!$T$6:$T$83,0),1)</f>
        <v>青木村</v>
      </c>
      <c r="D73" s="11">
        <f t="shared" ca="1" si="22"/>
        <v>1553</v>
      </c>
      <c r="E73" s="5"/>
      <c r="F73" s="27">
        <f ca="1">LARGE(長野県市町村統計表!$T$7:$T$83,'ランキングツール（長野県市町村）'!B73)</f>
        <v>1553.0092050580452</v>
      </c>
      <c r="G73" s="9">
        <v>56</v>
      </c>
      <c r="H73" s="10" t="str">
        <f ca="1">INDEX(長野県市町村統計表!$A$6:$T$83,MATCH('ランキングツール（長野県市町村）'!K73,長野県市町村統計表!$T$6:$T$83,0),1)</f>
        <v>辰野町</v>
      </c>
      <c r="I73" s="11">
        <f t="shared" ca="1" si="23"/>
        <v>7258</v>
      </c>
      <c r="J73" s="4"/>
      <c r="K73" s="4">
        <f ca="1">SMALL(長野県市町村統計表!$T$7:$T$83,'ランキングツール（長野県市町村）'!G73)</f>
        <v>7258.070922758915</v>
      </c>
    </row>
    <row r="74" spans="2:11" x14ac:dyDescent="0.4">
      <c r="B74" s="9">
        <v>57</v>
      </c>
      <c r="C74" s="10" t="str">
        <f ca="1">INDEX(長野県市町村統計表!$A$6:$T$83,MATCH('ランキングツール（長野県市町村）'!F74,長野県市町村統計表!$T$6:$T$83,0),1)</f>
        <v>大桑村</v>
      </c>
      <c r="D74" s="11">
        <f t="shared" ca="1" si="22"/>
        <v>1477</v>
      </c>
      <c r="E74" s="5"/>
      <c r="F74" s="27">
        <f ca="1">LARGE(長野県市町村統計表!$T$7:$T$83,'ランキングツール（長野県市町村）'!B74)</f>
        <v>1477.0037204513935</v>
      </c>
      <c r="G74" s="9">
        <v>57</v>
      </c>
      <c r="H74" s="10" t="str">
        <f ca="1">INDEX(長野県市町村統計表!$A$6:$T$83,MATCH('ランキングツール（長野県市町村）'!K74,長野県市町村統計表!$T$6:$T$83,0),1)</f>
        <v>下諏訪町</v>
      </c>
      <c r="I74" s="11">
        <f t="shared" ca="1" si="23"/>
        <v>7847</v>
      </c>
      <c r="J74" s="4"/>
      <c r="K74" s="4">
        <f ca="1">SMALL(長野県市町村統計表!$T$7:$T$83,'ランキングツール（長野県市町村）'!G74)</f>
        <v>7847.0523424030716</v>
      </c>
    </row>
    <row r="75" spans="2:11" x14ac:dyDescent="0.4">
      <c r="B75" s="9">
        <v>58</v>
      </c>
      <c r="C75" s="10" t="str">
        <f ca="1">INDEX(長野県市町村統計表!$A$6:$T$83,MATCH('ランキングツール（長野県市町村）'!F75,長野県市町村統計表!$T$6:$T$83,0),1)</f>
        <v>朝日村</v>
      </c>
      <c r="D75" s="11">
        <f t="shared" ca="1" si="22"/>
        <v>1474</v>
      </c>
      <c r="E75" s="5"/>
      <c r="F75" s="27">
        <f ca="1">LARGE(長野県市町村統計表!$T$7:$T$83,'ランキングツール（長野県市町村）'!B75)</f>
        <v>1474.0016502480817</v>
      </c>
      <c r="G75" s="9">
        <v>58</v>
      </c>
      <c r="H75" s="10" t="str">
        <f ca="1">INDEX(長野県市町村統計表!$A$6:$T$83,MATCH('ランキングツール（長野県市町村）'!K75,長野県市町村統計表!$T$6:$T$83,0),1)</f>
        <v>軽井沢町</v>
      </c>
      <c r="I75" s="11">
        <f t="shared" ca="1" si="23"/>
        <v>8586</v>
      </c>
      <c r="J75" s="4"/>
      <c r="K75" s="4">
        <f ca="1">SMALL(長野県市町村統計表!$T$7:$T$83,'ランキングツール（長野県市町村）'!G75)</f>
        <v>8586.0664101924485</v>
      </c>
    </row>
    <row r="76" spans="2:11" x14ac:dyDescent="0.4">
      <c r="B76" s="9">
        <v>59</v>
      </c>
      <c r="C76" s="10" t="str">
        <f ca="1">INDEX(長野県市町村統計表!$A$6:$T$83,MATCH('ランキングツール（長野県市町村）'!F76,長野県市町村統計表!$T$6:$T$83,0),1)</f>
        <v>川上村</v>
      </c>
      <c r="D76" s="11">
        <f t="shared" ca="1" si="22"/>
        <v>1257</v>
      </c>
      <c r="E76" s="5"/>
      <c r="F76" s="27">
        <f ca="1">LARGE(長野県市町村統計表!$T$7:$T$83,'ランキングツール（長野県市町村）'!B76)</f>
        <v>1257.0042288132886</v>
      </c>
      <c r="G76" s="9">
        <v>59</v>
      </c>
      <c r="H76" s="10" t="str">
        <f ca="1">INDEX(長野県市町村統計表!$A$6:$T$83,MATCH('ランキングツール（長野県市町村）'!K76,長野県市町村統計表!$T$6:$T$83,0),1)</f>
        <v>箕輪町</v>
      </c>
      <c r="I76" s="11">
        <f t="shared" ca="1" si="23"/>
        <v>9504</v>
      </c>
      <c r="J76" s="4"/>
      <c r="K76" s="4">
        <f ca="1">SMALL(長野県市町村統計表!$T$7:$T$83,'ランキングツール（長野県市町村）'!G76)</f>
        <v>9504.0358385848976</v>
      </c>
    </row>
    <row r="77" spans="2:11" x14ac:dyDescent="0.4">
      <c r="B77" s="9">
        <v>60</v>
      </c>
      <c r="C77" s="10" t="str">
        <f ca="1">INDEX(長野県市町村統計表!$A$6:$T$83,MATCH('ランキングツール（長野県市町村）'!F77,長野県市町村統計表!$T$6:$T$83,0),1)</f>
        <v>下條村</v>
      </c>
      <c r="D77" s="11">
        <f t="shared" ca="1" si="22"/>
        <v>1160</v>
      </c>
      <c r="E77" s="5"/>
      <c r="F77" s="27">
        <f ca="1">LARGE(長野県市町村統計表!$T$7:$T$83,'ランキングツール（長野県市町村）'!B77)</f>
        <v>1160.0115218611559</v>
      </c>
      <c r="G77" s="9">
        <v>60</v>
      </c>
      <c r="H77" s="10" t="str">
        <f ca="1">INDEX(長野県市町村統計表!$A$6:$T$83,MATCH('ランキングツール（長野県市町村）'!K77,長野県市町村統計表!$T$6:$T$83,0),1)</f>
        <v>大町市</v>
      </c>
      <c r="I77" s="11">
        <f t="shared" ca="1" si="23"/>
        <v>10739</v>
      </c>
      <c r="J77" s="4"/>
      <c r="K77" s="4">
        <f ca="1">SMALL(長野県市町村統計表!$T$7:$T$83,'ランキングツール（長野県市町村）'!G77)</f>
        <v>10739.032430867879</v>
      </c>
    </row>
    <row r="78" spans="2:11" x14ac:dyDescent="0.4">
      <c r="B78" s="9">
        <v>61</v>
      </c>
      <c r="C78" s="10" t="str">
        <f ca="1">INDEX(長野県市町村統計表!$A$6:$T$83,MATCH('ランキングツール（長野県市町村）'!F78,長野県市町村統計表!$T$6:$T$83,0),1)</f>
        <v>野沢温泉村</v>
      </c>
      <c r="D78" s="11">
        <f t="shared" ca="1" si="22"/>
        <v>1153</v>
      </c>
      <c r="E78" s="5"/>
      <c r="F78" s="27">
        <f ca="1">LARGE(長野県市町村統計表!$T$7:$T$83,'ランキングツール（長野県市町村）'!B78)</f>
        <v>1153.0020588700481</v>
      </c>
      <c r="G78" s="9">
        <v>61</v>
      </c>
      <c r="H78" s="10" t="str">
        <f ca="1">INDEX(長野県市町村統計表!$A$6:$T$83,MATCH('ランキングツール（長野県市町村）'!K78,長野県市町村統計表!$T$6:$T$83,0),1)</f>
        <v>東御市</v>
      </c>
      <c r="I78" s="11">
        <f t="shared" ca="1" si="23"/>
        <v>11260</v>
      </c>
      <c r="J78" s="4"/>
      <c r="K78" s="4">
        <f ca="1">SMALL(長野県市町村統計表!$T$7:$T$83,'ランキングツール（長野県市町村）'!G78)</f>
        <v>11260.099606788195</v>
      </c>
    </row>
    <row r="79" spans="2:11" x14ac:dyDescent="0.4">
      <c r="B79" s="9">
        <v>62</v>
      </c>
      <c r="C79" s="10" t="str">
        <f ca="1">INDEX(長野県市町村統計表!$A$6:$T$83,MATCH('ランキングツール（長野県市町村）'!F79,長野県市町村統計表!$T$6:$T$83,0),1)</f>
        <v>小谷村</v>
      </c>
      <c r="D79" s="11">
        <f t="shared" ca="1" si="22"/>
        <v>1145</v>
      </c>
      <c r="E79" s="5"/>
      <c r="F79" s="27">
        <f ca="1">LARGE(長野県市町村統計表!$T$7:$T$83,'ランキングツール（長野県市町村）'!B79)</f>
        <v>1145.0042632599946</v>
      </c>
      <c r="G79" s="9">
        <v>62</v>
      </c>
      <c r="H79" s="10" t="str">
        <f ca="1">INDEX(長野県市町村統計表!$A$6:$T$83,MATCH('ランキングツール（長野県市町村）'!K79,長野県市町村統計表!$T$6:$T$83,0),1)</f>
        <v>駒ヶ根市</v>
      </c>
      <c r="I79" s="11">
        <f t="shared" ca="1" si="23"/>
        <v>12956</v>
      </c>
      <c r="J79" s="4"/>
      <c r="K79" s="4">
        <f ca="1">SMALL(長野県市町村統計表!$T$7:$T$83,'ランキングツール（長野県市町村）'!G79)</f>
        <v>12956.063742918112</v>
      </c>
    </row>
    <row r="80" spans="2:11" x14ac:dyDescent="0.4">
      <c r="B80" s="9">
        <v>63</v>
      </c>
      <c r="C80" s="10" t="str">
        <f ca="1">INDEX(長野県市町村統計表!$A$6:$T$83,MATCH('ランキングツール（長野県市町村）'!F80,長野県市町村統計表!$T$6:$T$83,0),1)</f>
        <v>南牧村</v>
      </c>
      <c r="D80" s="11">
        <f t="shared" ca="1" si="22"/>
        <v>1075</v>
      </c>
      <c r="E80" s="5"/>
      <c r="F80" s="27">
        <f ca="1">LARGE(長野県市町村統計表!$T$7:$T$83,'ランキングツール（長野県市町村）'!B80)</f>
        <v>1075.0097041648057</v>
      </c>
      <c r="G80" s="9">
        <v>63</v>
      </c>
      <c r="H80" s="10" t="str">
        <f ca="1">INDEX(長野県市町村統計表!$A$6:$T$83,MATCH('ランキングツール（長野県市町村）'!K80,長野県市町村統計表!$T$6:$T$83,0),1)</f>
        <v>中野市</v>
      </c>
      <c r="I80" s="11">
        <f t="shared" ca="1" si="23"/>
        <v>15799</v>
      </c>
      <c r="J80" s="4"/>
      <c r="K80" s="4">
        <f ca="1">SMALL(長野県市町村統計表!$T$7:$T$83,'ランキングツール（長野県市町村）'!G80)</f>
        <v>15799.157963225658</v>
      </c>
    </row>
    <row r="81" spans="2:11" x14ac:dyDescent="0.4">
      <c r="B81" s="9">
        <v>64</v>
      </c>
      <c r="C81" s="10" t="str">
        <f ca="1">INDEX(長野県市町村統計表!$A$6:$T$83,MATCH('ランキングツール（長野県市町村）'!F81,長野県市町村統計表!$T$6:$T$83,0),1)</f>
        <v>木祖村</v>
      </c>
      <c r="D81" s="11">
        <f t="shared" ca="1" si="22"/>
        <v>1013</v>
      </c>
      <c r="E81" s="5"/>
      <c r="F81" s="27">
        <f ca="1">LARGE(長野県市町村統計表!$T$7:$T$83,'ランキングツール（長野県市町村）'!B81)</f>
        <v>1013.0056604977746</v>
      </c>
      <c r="G81" s="9">
        <v>64</v>
      </c>
      <c r="H81" s="10" t="str">
        <f ca="1">INDEX(長野県市町村統計表!$A$6:$T$83,MATCH('ランキングツール（長野県市町村）'!K81,長野県市町村統計表!$T$6:$T$83,0),1)</f>
        <v>小諸市</v>
      </c>
      <c r="I81" s="11">
        <f t="shared" ca="1" si="23"/>
        <v>16831</v>
      </c>
      <c r="J81" s="4"/>
      <c r="K81" s="4">
        <f ca="1">SMALL(長野県市町村統計表!$T$7:$T$83,'ランキングツール（長野県市町村）'!G81)</f>
        <v>16831.115605142051</v>
      </c>
    </row>
    <row r="82" spans="2:11" x14ac:dyDescent="0.4">
      <c r="B82" s="9">
        <v>65</v>
      </c>
      <c r="C82" s="10" t="str">
        <f ca="1">INDEX(長野県市町村統計表!$A$6:$T$83,MATCH('ランキングツール（長野県市町村）'!F82,長野県市町村統計表!$T$6:$T$83,0),1)</f>
        <v>麻績村</v>
      </c>
      <c r="D82" s="11">
        <f t="shared" ca="1" si="22"/>
        <v>971</v>
      </c>
      <c r="E82" s="5"/>
      <c r="F82" s="27">
        <f ca="1">LARGE(長野県市町村統計表!$T$7:$T$83,'ランキングツール（長野県市町村）'!B82)</f>
        <v>971.00315251981544</v>
      </c>
      <c r="G82" s="9">
        <v>65</v>
      </c>
      <c r="H82" s="10" t="str">
        <f ca="1">INDEX(長野県市町村統計表!$A$6:$T$83,MATCH('ランキングツール（長野県市町村）'!K82,長野県市町村統計表!$T$6:$T$83,0),1)</f>
        <v>須坂市</v>
      </c>
      <c r="I82" s="11">
        <f t="shared" ca="1" si="23"/>
        <v>18839</v>
      </c>
      <c r="J82" s="4"/>
      <c r="K82" s="4">
        <f ca="1">SMALL(長野県市町村統計表!$T$7:$T$83,'ランキングツール（長野県市町村）'!G82)</f>
        <v>18839.088958370794</v>
      </c>
    </row>
    <row r="83" spans="2:11" x14ac:dyDescent="0.4">
      <c r="B83" s="9">
        <v>66</v>
      </c>
      <c r="C83" s="10" t="str">
        <f ca="1">INDEX(長野県市町村統計表!$A$6:$T$83,MATCH('ランキングツール（長野県市町村）'!F83,長野県市町村統計表!$T$6:$T$83,0),1)</f>
        <v>小川村</v>
      </c>
      <c r="D83" s="11">
        <f t="shared" ref="D83:D94" ca="1" si="28">IF($B$3="整数",ROUND(F83,0),F83)</f>
        <v>965</v>
      </c>
      <c r="E83" s="5"/>
      <c r="F83" s="27">
        <f ca="1">LARGE(長野県市町村統計表!$T$7:$T$83,'ランキングツール（長野県市町村）'!B83)</f>
        <v>965.00126959066779</v>
      </c>
      <c r="G83" s="9">
        <v>66</v>
      </c>
      <c r="H83" s="10" t="str">
        <f ca="1">INDEX(長野県市町村統計表!$A$6:$T$83,MATCH('ランキングツール（長野県市町村）'!K83,長野県市町村統計表!$T$6:$T$83,0),1)</f>
        <v>岡谷市</v>
      </c>
      <c r="I83" s="11">
        <f t="shared" ref="I83:I94" ca="1" si="29">IF($B$3="整数",ROUND(K83,0),K83)</f>
        <v>19274</v>
      </c>
      <c r="J83" s="4"/>
      <c r="K83" s="4">
        <f ca="1">SMALL(長野県市町村統計表!$T$7:$T$83,'ランキングツール（長野県市町村）'!G83)</f>
        <v>19274.062629514636</v>
      </c>
    </row>
    <row r="84" spans="2:11" x14ac:dyDescent="0.4">
      <c r="B84" s="9">
        <v>67</v>
      </c>
      <c r="C84" s="10" t="str">
        <f ca="1">INDEX(長野県市町村統計表!$A$6:$T$83,MATCH('ランキングツール（長野県市町村）'!F84,長野県市町村統計表!$T$6:$T$83,0),1)</f>
        <v>栄村</v>
      </c>
      <c r="D84" s="11">
        <f t="shared" ca="1" si="28"/>
        <v>692</v>
      </c>
      <c r="E84" s="5"/>
      <c r="F84" s="27">
        <f ca="1">LARGE(長野県市町村統計表!$T$7:$T$83,'ランキングツール（長野県市町村）'!B84)</f>
        <v>692.00147924226167</v>
      </c>
      <c r="G84" s="9">
        <v>67</v>
      </c>
      <c r="H84" s="10" t="str">
        <f ca="1">INDEX(長野県市町村統計表!$A$6:$T$83,MATCH('ランキングツール（長野県市町村）'!K84,長野県市町村統計表!$T$6:$T$83,0),1)</f>
        <v>諏訪市</v>
      </c>
      <c r="I84" s="11">
        <f t="shared" ca="1" si="29"/>
        <v>20776</v>
      </c>
      <c r="J84" s="4"/>
      <c r="K84" s="4">
        <f ca="1">SMALL(長野県市町村統計表!$T$7:$T$83,'ランキングツール（長野県市町村）'!G84)</f>
        <v>20776.192072224021</v>
      </c>
    </row>
    <row r="85" spans="2:11" x14ac:dyDescent="0.4">
      <c r="B85" s="9">
        <v>68</v>
      </c>
      <c r="C85" s="10" t="str">
        <f ca="1">INDEX(長野県市町村統計表!$A$6:$T$83,MATCH('ランキングツール（長野県市町村）'!F85,長野県市町村統計表!$T$6:$T$83,0),1)</f>
        <v>生坂村</v>
      </c>
      <c r="D85" s="11">
        <f t="shared" ca="1" si="28"/>
        <v>665</v>
      </c>
      <c r="E85" s="5"/>
      <c r="F85" s="27">
        <f ca="1">LARGE(長野県市町村統計表!$T$7:$T$83,'ランキングツール（長野県市町村）'!B85)</f>
        <v>665.00010586625217</v>
      </c>
      <c r="G85" s="9">
        <v>68</v>
      </c>
      <c r="H85" s="10" t="str">
        <f ca="1">INDEX(長野県市町村統計表!$A$6:$T$83,MATCH('ランキングツール（長野県市町村）'!K85,長野県市町村統計表!$T$6:$T$83,0),1)</f>
        <v>千曲市</v>
      </c>
      <c r="I85" s="11">
        <f t="shared" ca="1" si="29"/>
        <v>22023</v>
      </c>
      <c r="J85" s="4"/>
      <c r="K85" s="4">
        <f ca="1">SMALL(長野県市町村統計表!$T$7:$T$83,'ランキングツール（長野県市町村）'!G85)</f>
        <v>22023.050031816958</v>
      </c>
    </row>
    <row r="86" spans="2:11" x14ac:dyDescent="0.4">
      <c r="B86" s="9">
        <v>69</v>
      </c>
      <c r="C86" s="10" t="str">
        <f ca="1">INDEX(長野県市町村統計表!$A$6:$T$83,MATCH('ランキングツール（長野県市町村）'!F86,長野県市町村統計表!$T$6:$T$83,0),1)</f>
        <v>泰阜村</v>
      </c>
      <c r="D86" s="11">
        <f t="shared" ca="1" si="28"/>
        <v>595</v>
      </c>
      <c r="E86" s="5"/>
      <c r="F86" s="27">
        <f ca="1">LARGE(長野県市町村統計表!$T$7:$T$83,'ランキングツール（長野県市町村）'!B86)</f>
        <v>595.00378811867085</v>
      </c>
      <c r="G86" s="9">
        <v>69</v>
      </c>
      <c r="H86" s="10" t="str">
        <f ca="1">INDEX(長野県市町村統計表!$A$6:$T$83,MATCH('ランキングツール（長野県市町村）'!K86,長野県市町村統計表!$T$6:$T$83,0),1)</f>
        <v>茅野市</v>
      </c>
      <c r="I86" s="11">
        <f t="shared" ca="1" si="29"/>
        <v>23848</v>
      </c>
      <c r="J86" s="4"/>
      <c r="K86" s="4">
        <f ca="1">SMALL(長野県市町村統計表!$T$7:$T$83,'ランキングツール（長野県市町村）'!G86)</f>
        <v>23848.190234803737</v>
      </c>
    </row>
    <row r="87" spans="2:11" x14ac:dyDescent="0.4">
      <c r="B87" s="9">
        <v>70</v>
      </c>
      <c r="C87" s="10" t="str">
        <f ca="1">INDEX(長野県市町村統計表!$A$6:$T$83,MATCH('ランキングツール（長野県市町村）'!F87,長野県市町村統計表!$T$6:$T$83,0),1)</f>
        <v>天龍村</v>
      </c>
      <c r="D87" s="11">
        <f t="shared" ca="1" si="28"/>
        <v>563</v>
      </c>
      <c r="E87" s="5"/>
      <c r="F87" s="27">
        <f ca="1">LARGE(長野県市町村統計表!$T$7:$T$83,'ランキングツール（長野県市町村）'!B87)</f>
        <v>563.00503235991721</v>
      </c>
      <c r="G87" s="9">
        <v>70</v>
      </c>
      <c r="H87" s="10" t="str">
        <f ca="1">INDEX(長野県市町村統計表!$A$6:$T$83,MATCH('ランキングツール（長野県市町村）'!K87,長野県市町村統計表!$T$6:$T$83,0),1)</f>
        <v>伊那市</v>
      </c>
      <c r="I87" s="11">
        <f t="shared" ca="1" si="29"/>
        <v>26238</v>
      </c>
      <c r="J87" s="4"/>
      <c r="K87" s="4">
        <f ca="1">SMALL(長野県市町村統計表!$T$7:$T$83,'ランキングツール（長野県市町村）'!G87)</f>
        <v>26238.142857477917</v>
      </c>
    </row>
    <row r="88" spans="2:11" x14ac:dyDescent="0.4">
      <c r="B88" s="9">
        <v>71</v>
      </c>
      <c r="C88" s="10" t="str">
        <f ca="1">INDEX(長野県市町村統計表!$A$6:$T$83,MATCH('ランキングツール（長野県市町村）'!F88,長野県市町村統計表!$T$6:$T$83,0),1)</f>
        <v>大鹿村</v>
      </c>
      <c r="D88" s="11">
        <f t="shared" ca="1" si="28"/>
        <v>532</v>
      </c>
      <c r="E88" s="5"/>
      <c r="F88" s="27">
        <f ca="1">LARGE(長野県市町村統計表!$T$7:$T$83,'ランキングツール（長野県市町村）'!B88)</f>
        <v>532.0047761639803</v>
      </c>
      <c r="G88" s="9">
        <v>71</v>
      </c>
      <c r="H88" s="10" t="str">
        <f ca="1">INDEX(長野県市町村統計表!$A$6:$T$83,MATCH('ランキングツール（長野県市町村）'!K88,長野県市町村統計表!$T$6:$T$83,0),1)</f>
        <v>塩尻市</v>
      </c>
      <c r="I88" s="11">
        <f t="shared" ca="1" si="29"/>
        <v>27997</v>
      </c>
      <c r="J88" s="4"/>
      <c r="K88" s="4">
        <f ca="1">SMALL(長野県市町村統計表!$T$7:$T$83,'ランキングツール（長野県市町村）'!G88)</f>
        <v>27997.093000626362</v>
      </c>
    </row>
    <row r="89" spans="2:11" x14ac:dyDescent="0.4">
      <c r="B89" s="9">
        <v>72</v>
      </c>
      <c r="C89" s="10" t="str">
        <f ca="1">INDEX(長野県市町村統計表!$A$6:$T$83,MATCH('ランキングツール（長野県市町村）'!F89,長野県市町村統計表!$T$6:$T$83,0),1)</f>
        <v>南相木村</v>
      </c>
      <c r="D89" s="11">
        <f t="shared" ca="1" si="28"/>
        <v>406</v>
      </c>
      <c r="E89" s="5"/>
      <c r="F89" s="27">
        <f ca="1">LARGE(長野県市町村統計表!$T$7:$T$83,'ランキングツール（長野県市町村）'!B89)</f>
        <v>406.00308656126583</v>
      </c>
      <c r="G89" s="9">
        <v>72</v>
      </c>
      <c r="H89" s="10" t="str">
        <f ca="1">INDEX(長野県市町村統計表!$A$6:$T$83,MATCH('ランキングツール（長野県市町村）'!K89,長野県市町村統計表!$T$6:$T$83,0),1)</f>
        <v>安曇野市</v>
      </c>
      <c r="I89" s="11">
        <f t="shared" ca="1" si="29"/>
        <v>36491</v>
      </c>
      <c r="J89" s="4"/>
      <c r="K89" s="4">
        <f ca="1">SMALL(長野県市町村統計表!$T$7:$T$83,'ランキングツール（長野県市町村）'!G89)</f>
        <v>36491.238574781259</v>
      </c>
    </row>
    <row r="90" spans="2:11" x14ac:dyDescent="0.4">
      <c r="B90" s="9">
        <v>73</v>
      </c>
      <c r="C90" s="10" t="str">
        <f ca="1">INDEX(長野県市町村統計表!$A$6:$T$83,MATCH('ランキングツール（長野県市町村）'!F90,長野県市町村統計表!$T$6:$T$83,0),1)</f>
        <v>根羽村</v>
      </c>
      <c r="D90" s="11">
        <f t="shared" ca="1" si="28"/>
        <v>383</v>
      </c>
      <c r="E90" s="5"/>
      <c r="F90" s="27">
        <f ca="1">LARGE(長野県市町村統計表!$T$7:$T$83,'ランキングツール（長野県市町村）'!B90)</f>
        <v>383.00343791032401</v>
      </c>
      <c r="G90" s="9">
        <v>73</v>
      </c>
      <c r="H90" s="10" t="str">
        <f ca="1">INDEX(長野県市町村統計表!$A$6:$T$83,MATCH('ランキングツール（長野県市町村）'!K90,長野県市町村統計表!$T$6:$T$83,0),1)</f>
        <v>飯田市</v>
      </c>
      <c r="I90" s="11">
        <f t="shared" ca="1" si="29"/>
        <v>38903</v>
      </c>
      <c r="J90" s="4"/>
      <c r="K90" s="4">
        <f ca="1">SMALL(長野県市町村統計表!$T$7:$T$83,'ランキングツール（長野県市町村）'!G90)</f>
        <v>38903.108698680742</v>
      </c>
    </row>
    <row r="91" spans="2:11" x14ac:dyDescent="0.4">
      <c r="B91" s="9">
        <v>74</v>
      </c>
      <c r="C91" s="10" t="str">
        <f ca="1">INDEX(長野県市町村統計表!$A$6:$T$83,MATCH('ランキングツール（長野県市町村）'!F91,長野県市町村統計表!$T$6:$T$83,0),1)</f>
        <v>王滝村</v>
      </c>
      <c r="D91" s="11">
        <f t="shared" ca="1" si="28"/>
        <v>371</v>
      </c>
      <c r="E91" s="5"/>
      <c r="F91" s="27">
        <f ca="1">LARGE(長野県市町村統計表!$T$7:$T$83,'ランキングツール（長野県市町村）'!B91)</f>
        <v>371.00082244524015</v>
      </c>
      <c r="G91" s="9">
        <v>74</v>
      </c>
      <c r="H91" s="10" t="str">
        <f ca="1">INDEX(長野県市町村統計表!$A$6:$T$83,MATCH('ランキングツール（長野県市町村）'!K91,長野県市町村統計表!$T$6:$T$83,0),1)</f>
        <v>佐久市</v>
      </c>
      <c r="I91" s="11">
        <f t="shared" ca="1" si="29"/>
        <v>39924</v>
      </c>
      <c r="J91" s="4"/>
      <c r="K91" s="4">
        <f ca="1">SMALL(長野県市町村統計表!$T$7:$T$83,'ランキングツール（長野県市町村）'!G91)</f>
        <v>39924.18775145361</v>
      </c>
    </row>
    <row r="92" spans="2:11" x14ac:dyDescent="0.4">
      <c r="B92" s="9">
        <v>75</v>
      </c>
      <c r="C92" s="10" t="str">
        <f ca="1">INDEX(長野県市町村統計表!$A$6:$T$83,MATCH('ランキングツール（長野県市町村）'!F92,長野県市町村統計表!$T$6:$T$83,0),1)</f>
        <v>北相木村</v>
      </c>
      <c r="D92" s="11">
        <f t="shared" ca="1" si="28"/>
        <v>342</v>
      </c>
      <c r="E92" s="5"/>
      <c r="F92" s="27">
        <f ca="1">LARGE(長野県市町村統計表!$T$7:$T$83,'ランキングツール（長野県市町村）'!B92)</f>
        <v>342.00007270209676</v>
      </c>
      <c r="G92" s="9">
        <v>75</v>
      </c>
      <c r="H92" s="10" t="str">
        <f ca="1">INDEX(長野県市町村統計表!$A$6:$T$83,MATCH('ランキングツール（長野県市町村）'!K92,長野県市町村統計表!$T$6:$T$83,0),1)</f>
        <v>上田市</v>
      </c>
      <c r="I92" s="11">
        <f t="shared" ca="1" si="29"/>
        <v>64296</v>
      </c>
      <c r="J92" s="4"/>
      <c r="K92" s="4">
        <f ca="1">SMALL(長野県市町村統計表!$T$7:$T$83,'ランキングツール（長野県市町村）'!G92)</f>
        <v>64296.489089754956</v>
      </c>
    </row>
    <row r="93" spans="2:11" x14ac:dyDescent="0.4">
      <c r="B93" s="9">
        <v>76</v>
      </c>
      <c r="C93" s="10" t="str">
        <f ca="1">INDEX(長野県市町村統計表!$A$6:$T$83,MATCH('ランキングツール（長野県市町村）'!F93,長野県市町村統計表!$T$6:$T$83,0),1)</f>
        <v>売木村</v>
      </c>
      <c r="D93" s="11">
        <f t="shared" ca="1" si="28"/>
        <v>279</v>
      </c>
      <c r="E93" s="5"/>
      <c r="F93" s="27">
        <f ca="1">LARGE(長野県市町村統計表!$T$7:$T$83,'ランキングツール（長野県市町村）'!B93)</f>
        <v>279.0023578263885</v>
      </c>
      <c r="G93" s="9">
        <v>76</v>
      </c>
      <c r="H93" s="10" t="str">
        <f ca="1">INDEX(長野県市町村統計表!$A$6:$T$83,MATCH('ランキングツール（長野県市町村）'!K93,長野県市町村統計表!$T$6:$T$83,0),1)</f>
        <v>松本市</v>
      </c>
      <c r="I93" s="11">
        <f t="shared" ca="1" si="29"/>
        <v>104934</v>
      </c>
      <c r="J93" s="4"/>
      <c r="K93" s="4">
        <f ca="1">SMALL(長野県市町村統計表!$T$7:$T$83,'ランキングツール（長野県市町村）'!G93)</f>
        <v>104934.20119932137</v>
      </c>
    </row>
    <row r="94" spans="2:11" x14ac:dyDescent="0.4">
      <c r="B94" s="9">
        <v>77</v>
      </c>
      <c r="C94" s="10" t="str">
        <f ca="1">INDEX(長野県市町村統計表!$A$6:$T$83,MATCH('ランキングツール（長野県市町村）'!F94,長野県市町村統計表!$T$6:$T$83,0),1)</f>
        <v>平谷村</v>
      </c>
      <c r="D94" s="11">
        <f t="shared" ca="1" si="28"/>
        <v>196</v>
      </c>
      <c r="E94" s="5"/>
      <c r="F94" s="27">
        <f ca="1">LARGE(長野県市町村統計表!$T$7:$T$83,'ランキングツール（長野県市町村）'!B94)</f>
        <v>196.00190707807775</v>
      </c>
      <c r="G94" s="9">
        <v>77</v>
      </c>
      <c r="H94" s="10" t="str">
        <f ca="1">INDEX(長野県市町村統計表!$A$6:$T$83,MATCH('ランキングツール（長野県市町村）'!K94,長野県市町村統計表!$T$6:$T$83,0),1)</f>
        <v>長野市</v>
      </c>
      <c r="I94" s="11">
        <f t="shared" ca="1" si="29"/>
        <v>156976</v>
      </c>
      <c r="J94" s="4"/>
      <c r="K94" s="4">
        <f ca="1">SMALL(長野県市町村統計表!$T$7:$T$83,'ランキングツール（長野県市町村）'!G94)</f>
        <v>156975.63142306139</v>
      </c>
    </row>
  </sheetData>
  <mergeCells count="2">
    <mergeCell ref="B2:C2"/>
    <mergeCell ref="B15:C15"/>
  </mergeCells>
  <phoneticPr fontId="2"/>
  <conditionalFormatting sqref="D18:D94">
    <cfRule type="expression" dxfId="22" priority="6">
      <formula>INDIRECT(ADDRESS(ROW(),COLUMN()))=TRUNC(INDIRECT(ADDRESS(ROW(),COLUMN())))</formula>
    </cfRule>
  </conditionalFormatting>
  <conditionalFormatting sqref="I18:I94">
    <cfRule type="expression" dxfId="21" priority="5">
      <formula>INDIRECT(ADDRESS(ROW(),COLUMN()))=TRUNC(INDIRECT(ADDRESS(ROW(),COLUMN())))</formula>
    </cfRule>
  </conditionalFormatting>
  <conditionalFormatting sqref="D15">
    <cfRule type="expression" dxfId="20" priority="1">
      <formula>INDIRECT(ADDRESS(ROW(),COLUMN()))=TRUNC(INDIRECT(ADDRESS(ROW(),COLUMN())))</formula>
    </cfRule>
  </conditionalFormatting>
  <dataValidations count="1">
    <dataValidation type="list" allowBlank="1" showInputMessage="1" showErrorMessage="1" sqref="B2:C2">
      <formula1>$E$2:$N$2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colBreaks count="1" manualBreakCount="1">
    <brk id="17" max="1048575" man="1"/>
  </colBreaks>
  <ignoredErrors>
    <ignoredError sqref="I5:I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showGridLines="0" zoomScaleNormal="100" zoomScaleSheetLayoutView="85" workbookViewId="0">
      <selection activeCell="A3" sqref="A3"/>
    </sheetView>
  </sheetViews>
  <sheetFormatPr defaultRowHeight="18.75" x14ac:dyDescent="0.4"/>
  <cols>
    <col min="1" max="1" width="10.375" style="1" customWidth="1"/>
    <col min="2" max="2" width="9.25" style="1" bestFit="1" customWidth="1"/>
    <col min="3" max="5" width="9.5" style="1" bestFit="1" customWidth="1"/>
    <col min="6" max="6" width="9.25" style="1" bestFit="1" customWidth="1"/>
    <col min="7" max="9" width="9.5" style="1" bestFit="1" customWidth="1"/>
    <col min="10" max="10" width="9.125" style="1" bestFit="1" customWidth="1"/>
    <col min="11" max="13" width="9.375" style="1" bestFit="1" customWidth="1"/>
    <col min="14" max="16" width="9" style="1"/>
    <col min="17" max="17" width="12.75" style="1" customWidth="1"/>
    <col min="18" max="21" width="12.75" style="24" hidden="1" customWidth="1"/>
    <col min="22" max="23" width="12.75" style="1" customWidth="1"/>
    <col min="24" max="16384" width="9" style="1"/>
  </cols>
  <sheetData>
    <row r="1" spans="1:21" x14ac:dyDescent="0.4">
      <c r="A1" s="1" t="s">
        <v>228</v>
      </c>
    </row>
    <row r="2" spans="1:21" hidden="1" x14ac:dyDescent="0.4">
      <c r="F2" s="24" t="s">
        <v>215</v>
      </c>
      <c r="G2" s="24" t="s">
        <v>214</v>
      </c>
      <c r="H2" s="24" t="s">
        <v>213</v>
      </c>
      <c r="I2" s="24" t="s">
        <v>212</v>
      </c>
      <c r="J2" s="24" t="s">
        <v>227</v>
      </c>
      <c r="K2" s="24" t="s">
        <v>226</v>
      </c>
      <c r="L2" s="24" t="s">
        <v>225</v>
      </c>
      <c r="M2" s="24" t="s">
        <v>224</v>
      </c>
      <c r="N2" s="24" t="s">
        <v>220</v>
      </c>
      <c r="O2" s="24" t="s">
        <v>221</v>
      </c>
      <c r="P2" s="24" t="s">
        <v>222</v>
      </c>
      <c r="Q2" s="24" t="s">
        <v>223</v>
      </c>
      <c r="R2" s="24" t="s">
        <v>208</v>
      </c>
      <c r="T2" s="24" t="str">
        <f>'ランキングツール（長野県市町村）'!B2</f>
        <v>2020年　世帯数</v>
      </c>
    </row>
    <row r="3" spans="1:21" x14ac:dyDescent="0.4">
      <c r="A3" s="12"/>
      <c r="B3" s="13">
        <v>2015</v>
      </c>
      <c r="C3" s="13">
        <v>2015</v>
      </c>
      <c r="D3" s="13">
        <v>2015</v>
      </c>
      <c r="E3" s="13">
        <v>2015</v>
      </c>
      <c r="F3" s="13">
        <v>2020</v>
      </c>
      <c r="G3" s="13">
        <v>2020</v>
      </c>
      <c r="H3" s="13">
        <v>2020</v>
      </c>
      <c r="I3" s="13">
        <v>2020</v>
      </c>
      <c r="J3" s="14" t="s">
        <v>83</v>
      </c>
      <c r="K3" s="14" t="s">
        <v>199</v>
      </c>
      <c r="L3" s="14" t="s">
        <v>199</v>
      </c>
      <c r="M3" s="14" t="s">
        <v>199</v>
      </c>
      <c r="N3" s="14" t="s">
        <v>3</v>
      </c>
      <c r="O3" s="14" t="s">
        <v>200</v>
      </c>
      <c r="P3" s="14" t="s">
        <v>200</v>
      </c>
      <c r="Q3" s="14" t="s">
        <v>200</v>
      </c>
      <c r="R3" s="51"/>
      <c r="T3" s="24" t="s">
        <v>84</v>
      </c>
    </row>
    <row r="4" spans="1:21" x14ac:dyDescent="0.4">
      <c r="A4" s="15"/>
      <c r="B4" s="15" t="s">
        <v>81</v>
      </c>
      <c r="C4" s="15" t="s">
        <v>0</v>
      </c>
      <c r="D4" s="15" t="s">
        <v>1</v>
      </c>
      <c r="E4" s="15" t="s">
        <v>2</v>
      </c>
      <c r="F4" s="15" t="s">
        <v>81</v>
      </c>
      <c r="G4" s="15" t="s">
        <v>0</v>
      </c>
      <c r="H4" s="15" t="s">
        <v>1</v>
      </c>
      <c r="I4" s="15" t="s">
        <v>2</v>
      </c>
      <c r="J4" s="16" t="s">
        <v>201</v>
      </c>
      <c r="K4" s="16" t="s">
        <v>0</v>
      </c>
      <c r="L4" s="16" t="s">
        <v>1</v>
      </c>
      <c r="M4" s="16" t="s">
        <v>2</v>
      </c>
      <c r="N4" s="16" t="s">
        <v>201</v>
      </c>
      <c r="O4" s="16" t="s">
        <v>0</v>
      </c>
      <c r="P4" s="16" t="s">
        <v>1</v>
      </c>
      <c r="Q4" s="16" t="s">
        <v>2</v>
      </c>
      <c r="R4" s="51"/>
      <c r="T4" s="24" t="s">
        <v>84</v>
      </c>
    </row>
    <row r="5" spans="1:21" hidden="1" x14ac:dyDescent="0.4">
      <c r="A5" s="17" t="s">
        <v>99</v>
      </c>
      <c r="B5" s="18" t="s">
        <v>100</v>
      </c>
      <c r="C5" s="18" t="s">
        <v>101</v>
      </c>
      <c r="D5" s="18" t="s">
        <v>102</v>
      </c>
      <c r="E5" s="18" t="s">
        <v>103</v>
      </c>
      <c r="F5" s="19" t="s">
        <v>104</v>
      </c>
      <c r="G5" s="19" t="s">
        <v>105</v>
      </c>
      <c r="H5" s="19" t="s">
        <v>106</v>
      </c>
      <c r="I5" s="19" t="s">
        <v>107</v>
      </c>
      <c r="J5" s="20" t="s">
        <v>108</v>
      </c>
      <c r="K5" s="20" t="s">
        <v>109</v>
      </c>
      <c r="L5" s="20" t="s">
        <v>110</v>
      </c>
      <c r="M5" s="20" t="s">
        <v>111</v>
      </c>
      <c r="N5" s="21" t="s">
        <v>112</v>
      </c>
      <c r="O5" s="21" t="s">
        <v>113</v>
      </c>
      <c r="P5" s="21" t="s">
        <v>114</v>
      </c>
      <c r="Q5" s="21" t="s">
        <v>115</v>
      </c>
      <c r="R5" s="52"/>
      <c r="T5" s="53">
        <f t="shared" ref="T5" ca="1" si="0">SUMIFS(J6:Q6,$J$2:$Q$2,$T$2)*(1+RAND()/100000)</f>
        <v>0</v>
      </c>
    </row>
    <row r="6" spans="1:21" ht="17.25" customHeight="1" x14ac:dyDescent="0.4">
      <c r="A6" s="17" t="s">
        <v>80</v>
      </c>
      <c r="B6" s="18">
        <v>807108</v>
      </c>
      <c r="C6" s="18">
        <v>2098804</v>
      </c>
      <c r="D6" s="18">
        <v>1022129</v>
      </c>
      <c r="E6" s="18">
        <v>1076675</v>
      </c>
      <c r="F6" s="25">
        <f>SUM(F7:F83)</f>
        <v>832097</v>
      </c>
      <c r="G6" s="25">
        <f t="shared" ref="G6:I6" si="1">SUM(G7:G83)</f>
        <v>2048011</v>
      </c>
      <c r="H6" s="25">
        <f t="shared" si="1"/>
        <v>1000389</v>
      </c>
      <c r="I6" s="25">
        <f t="shared" si="1"/>
        <v>1047622</v>
      </c>
      <c r="J6" s="20">
        <f>テーブル1[[#This Row],[列6]]-テーブル1[[#This Row],[列2]]</f>
        <v>24989</v>
      </c>
      <c r="K6" s="20">
        <f>テーブル1[[#This Row],[列7]]-テーブル1[[#This Row],[列3]]</f>
        <v>-50793</v>
      </c>
      <c r="L6" s="20">
        <f>テーブル1[[#This Row],[列8]]-テーブル1[[#This Row],[列4]]</f>
        <v>-21740</v>
      </c>
      <c r="M6" s="20">
        <f>テーブル1[[#This Row],[列9]]-テーブル1[[#This Row],[列5]]</f>
        <v>-29053</v>
      </c>
      <c r="N6" s="56">
        <f>テーブル1[[#This Row],[列10]]/テーブル1[[#This Row],[列6]]*100</f>
        <v>3.0031354517562256</v>
      </c>
      <c r="O6" s="56">
        <f>テーブル1[[#This Row],[列11]]/テーブル1[[#This Row],[列7]]*100</f>
        <v>-2.4801136322021708</v>
      </c>
      <c r="P6" s="56">
        <f>テーブル1[[#This Row],[列12]]/テーブル1[[#This Row],[列8]]*100</f>
        <v>-2.1731546428439339</v>
      </c>
      <c r="Q6" s="56">
        <f>テーブル1[[#This Row],[列13]]/テーブル1[[#This Row],[列9]]*100</f>
        <v>-2.7732330936158274</v>
      </c>
      <c r="R6" s="52">
        <f>テーブル1[[#This Row],[列7]]/テーブル1[[#This Row],[列6]]</f>
        <v>2.4612647323569248</v>
      </c>
      <c r="T6" s="54">
        <f ca="1">SUMIFS(F6:R6,$F$2:$R$2,$T$2)*(1+RAND()/100000)</f>
        <v>832103.99061983731</v>
      </c>
      <c r="U6" s="24" t="str">
        <f t="shared" ref="U6:U37" si="2">RIGHT(A6)</f>
        <v>県</v>
      </c>
    </row>
    <row r="7" spans="1:21" ht="17.25" customHeight="1" x14ac:dyDescent="0.4">
      <c r="A7" s="17" t="s">
        <v>18</v>
      </c>
      <c r="B7" s="18">
        <v>150414</v>
      </c>
      <c r="C7" s="18">
        <v>377598</v>
      </c>
      <c r="D7" s="18">
        <v>182843</v>
      </c>
      <c r="E7" s="18">
        <v>194755</v>
      </c>
      <c r="F7" s="25">
        <v>156975</v>
      </c>
      <c r="G7" s="25">
        <v>372760</v>
      </c>
      <c r="H7" s="25">
        <v>181284</v>
      </c>
      <c r="I7" s="25">
        <v>191476</v>
      </c>
      <c r="J7" s="20">
        <f>テーブル1[[#This Row],[列6]]-テーブル1[[#This Row],[列2]]</f>
        <v>6561</v>
      </c>
      <c r="K7" s="20">
        <f>テーブル1[[#This Row],[列7]]-テーブル1[[#This Row],[列3]]</f>
        <v>-4838</v>
      </c>
      <c r="L7" s="20">
        <f>テーブル1[[#This Row],[列8]]-テーブル1[[#This Row],[列4]]</f>
        <v>-1559</v>
      </c>
      <c r="M7" s="20">
        <f>テーブル1[[#This Row],[列9]]-テーブル1[[#This Row],[列5]]</f>
        <v>-3279</v>
      </c>
      <c r="N7" s="56">
        <f>テーブル1[[#This Row],[列10]]/テーブル1[[#This Row],[列6]]*100</f>
        <v>4.1796464405160059</v>
      </c>
      <c r="O7" s="56">
        <f>テーブル1[[#This Row],[列11]]/テーブル1[[#This Row],[列7]]*100</f>
        <v>-1.2978860392746003</v>
      </c>
      <c r="P7" s="56">
        <f>テーブル1[[#This Row],[列12]]/テーブル1[[#This Row],[列8]]*100</f>
        <v>-0.8599766112839522</v>
      </c>
      <c r="Q7" s="56">
        <f>テーブル1[[#This Row],[列13]]/テーブル1[[#This Row],[列9]]*100</f>
        <v>-1.7124861601453969</v>
      </c>
      <c r="R7" s="52">
        <f>テーブル1[[#This Row],[列7]]/テーブル1[[#This Row],[列6]]</f>
        <v>2.3746456442108617</v>
      </c>
      <c r="T7" s="54">
        <f t="shared" ref="T7:T70" ca="1" si="3">SUMIFS(F7:R7,$F$2:$R$2,$T$2)*(1+RAND()/100000)</f>
        <v>156975.63142306139</v>
      </c>
      <c r="U7" s="24" t="str">
        <f t="shared" si="2"/>
        <v>市</v>
      </c>
    </row>
    <row r="8" spans="1:21" ht="17.25" customHeight="1" x14ac:dyDescent="0.4">
      <c r="A8" s="17" t="s">
        <v>75</v>
      </c>
      <c r="B8" s="18">
        <v>100173</v>
      </c>
      <c r="C8" s="18">
        <v>243293</v>
      </c>
      <c r="D8" s="18">
        <v>119479</v>
      </c>
      <c r="E8" s="18">
        <v>123814</v>
      </c>
      <c r="F8" s="25">
        <v>104934</v>
      </c>
      <c r="G8" s="25">
        <v>241145</v>
      </c>
      <c r="H8" s="25">
        <v>118271</v>
      </c>
      <c r="I8" s="25">
        <v>122874</v>
      </c>
      <c r="J8" s="20">
        <f>テーブル1[[#This Row],[列6]]-テーブル1[[#This Row],[列2]]</f>
        <v>4761</v>
      </c>
      <c r="K8" s="20">
        <f>テーブル1[[#This Row],[列7]]-テーブル1[[#This Row],[列3]]</f>
        <v>-2148</v>
      </c>
      <c r="L8" s="20">
        <f>テーブル1[[#This Row],[列8]]-テーブル1[[#This Row],[列4]]</f>
        <v>-1208</v>
      </c>
      <c r="M8" s="20">
        <f>テーブル1[[#This Row],[列9]]-テーブル1[[#This Row],[列5]]</f>
        <v>-940</v>
      </c>
      <c r="N8" s="56">
        <f>テーブル1[[#This Row],[列10]]/テーブル1[[#This Row],[列6]]*100</f>
        <v>4.5371376293670309</v>
      </c>
      <c r="O8" s="56">
        <f>テーブル1[[#This Row],[列11]]/テーブル1[[#This Row],[列7]]*100</f>
        <v>-0.8907503784030355</v>
      </c>
      <c r="P8" s="56">
        <f>テーブル1[[#This Row],[列12]]/テーブル1[[#This Row],[列8]]*100</f>
        <v>-1.0213830947569564</v>
      </c>
      <c r="Q8" s="56">
        <f>テーブル1[[#This Row],[列13]]/テーブル1[[#This Row],[列9]]*100</f>
        <v>-0.76501131240132159</v>
      </c>
      <c r="R8" s="52">
        <f>テーブル1[[#This Row],[列7]]/テーブル1[[#This Row],[列6]]</f>
        <v>2.2980635447042905</v>
      </c>
      <c r="T8" s="54">
        <f t="shared" ca="1" si="3"/>
        <v>104934.20119932137</v>
      </c>
      <c r="U8" s="24" t="str">
        <f t="shared" si="2"/>
        <v>市</v>
      </c>
    </row>
    <row r="9" spans="1:21" ht="17.25" customHeight="1" x14ac:dyDescent="0.4">
      <c r="A9" s="17" t="s">
        <v>76</v>
      </c>
      <c r="B9" s="18">
        <v>62696</v>
      </c>
      <c r="C9" s="18">
        <v>156827</v>
      </c>
      <c r="D9" s="18">
        <v>76776</v>
      </c>
      <c r="E9" s="18">
        <v>80051</v>
      </c>
      <c r="F9" s="25">
        <v>64296</v>
      </c>
      <c r="G9" s="25">
        <v>154055</v>
      </c>
      <c r="H9" s="25">
        <v>75365</v>
      </c>
      <c r="I9" s="25">
        <v>78690</v>
      </c>
      <c r="J9" s="20">
        <f>テーブル1[[#This Row],[列6]]-テーブル1[[#This Row],[列2]]</f>
        <v>1600</v>
      </c>
      <c r="K9" s="20">
        <f>テーブル1[[#This Row],[列7]]-テーブル1[[#This Row],[列3]]</f>
        <v>-2772</v>
      </c>
      <c r="L9" s="20">
        <f>テーブル1[[#This Row],[列8]]-テーブル1[[#This Row],[列4]]</f>
        <v>-1411</v>
      </c>
      <c r="M9" s="20">
        <f>テーブル1[[#This Row],[列9]]-テーブル1[[#This Row],[列5]]</f>
        <v>-1361</v>
      </c>
      <c r="N9" s="56">
        <f>テーブル1[[#This Row],[列10]]/テーブル1[[#This Row],[列6]]*100</f>
        <v>2.4884907303720292</v>
      </c>
      <c r="O9" s="56">
        <f>テーブル1[[#This Row],[列11]]/テーブル1[[#This Row],[列7]]*100</f>
        <v>-1.799357372367012</v>
      </c>
      <c r="P9" s="56">
        <f>テーブル1[[#This Row],[列12]]/テーブル1[[#This Row],[列8]]*100</f>
        <v>-1.8722218536455912</v>
      </c>
      <c r="Q9" s="56">
        <f>テーブル1[[#This Row],[列13]]/テーブル1[[#This Row],[列9]]*100</f>
        <v>-1.7295717371965942</v>
      </c>
      <c r="R9" s="52">
        <f>テーブル1[[#This Row],[列7]]/テーブル1[[#This Row],[列6]]</f>
        <v>2.3960277466716438</v>
      </c>
      <c r="T9" s="54">
        <f t="shared" ca="1" si="3"/>
        <v>64296.489089754956</v>
      </c>
      <c r="U9" s="24" t="str">
        <f t="shared" si="2"/>
        <v>市</v>
      </c>
    </row>
    <row r="10" spans="1:21" ht="17.25" customHeight="1" x14ac:dyDescent="0.4">
      <c r="A10" s="17" t="s">
        <v>19</v>
      </c>
      <c r="B10" s="18">
        <v>19100</v>
      </c>
      <c r="C10" s="18">
        <v>50128</v>
      </c>
      <c r="D10" s="18">
        <v>24330</v>
      </c>
      <c r="E10" s="18">
        <v>25798</v>
      </c>
      <c r="F10" s="25">
        <v>19274</v>
      </c>
      <c r="G10" s="25">
        <v>47790</v>
      </c>
      <c r="H10" s="25">
        <v>23213</v>
      </c>
      <c r="I10" s="25">
        <v>24577</v>
      </c>
      <c r="J10" s="20">
        <f>テーブル1[[#This Row],[列6]]-テーブル1[[#This Row],[列2]]</f>
        <v>174</v>
      </c>
      <c r="K10" s="20">
        <f>テーブル1[[#This Row],[列7]]-テーブル1[[#This Row],[列3]]</f>
        <v>-2338</v>
      </c>
      <c r="L10" s="20">
        <f>テーブル1[[#This Row],[列8]]-テーブル1[[#This Row],[列4]]</f>
        <v>-1117</v>
      </c>
      <c r="M10" s="20">
        <f>テーブル1[[#This Row],[列9]]-テーブル1[[#This Row],[列5]]</f>
        <v>-1221</v>
      </c>
      <c r="N10" s="56">
        <f>テーブル1[[#This Row],[列10]]/テーブル1[[#This Row],[列6]]*100</f>
        <v>0.90277057175469544</v>
      </c>
      <c r="O10" s="56">
        <f>テーブル1[[#This Row],[列11]]/テーブル1[[#This Row],[列7]]*100</f>
        <v>-4.8922368696379994</v>
      </c>
      <c r="P10" s="56">
        <f>テーブル1[[#This Row],[列12]]/テーブル1[[#This Row],[列8]]*100</f>
        <v>-4.8119588161805886</v>
      </c>
      <c r="Q10" s="56">
        <f>テーブル1[[#This Row],[列13]]/テーブル1[[#This Row],[列9]]*100</f>
        <v>-4.9680595678886768</v>
      </c>
      <c r="R10" s="52">
        <f>テーブル1[[#This Row],[列7]]/テーブル1[[#This Row],[列6]]</f>
        <v>2.4795060703538447</v>
      </c>
      <c r="T10" s="54">
        <f t="shared" ca="1" si="3"/>
        <v>19274.062629514636</v>
      </c>
      <c r="U10" s="24" t="str">
        <f t="shared" si="2"/>
        <v>市</v>
      </c>
    </row>
    <row r="11" spans="1:21" ht="17.25" customHeight="1" x14ac:dyDescent="0.4">
      <c r="A11" s="17" t="s">
        <v>20</v>
      </c>
      <c r="B11" s="18">
        <v>37694</v>
      </c>
      <c r="C11" s="18">
        <v>101581</v>
      </c>
      <c r="D11" s="18">
        <v>48443</v>
      </c>
      <c r="E11" s="18">
        <v>53138</v>
      </c>
      <c r="F11" s="25">
        <v>38903</v>
      </c>
      <c r="G11" s="25">
        <v>98164</v>
      </c>
      <c r="H11" s="25">
        <v>47280</v>
      </c>
      <c r="I11" s="25">
        <v>50884</v>
      </c>
      <c r="J11" s="20">
        <f>テーブル1[[#This Row],[列6]]-テーブル1[[#This Row],[列2]]</f>
        <v>1209</v>
      </c>
      <c r="K11" s="20">
        <f>テーブル1[[#This Row],[列7]]-テーブル1[[#This Row],[列3]]</f>
        <v>-3417</v>
      </c>
      <c r="L11" s="20">
        <f>テーブル1[[#This Row],[列8]]-テーブル1[[#This Row],[列4]]</f>
        <v>-1163</v>
      </c>
      <c r="M11" s="20">
        <f>テーブル1[[#This Row],[列9]]-テーブル1[[#This Row],[列5]]</f>
        <v>-2254</v>
      </c>
      <c r="N11" s="56">
        <f>テーブル1[[#This Row],[列10]]/テーブル1[[#This Row],[列6]]*100</f>
        <v>3.1077294810168881</v>
      </c>
      <c r="O11" s="56">
        <f>テーブル1[[#This Row],[列11]]/テーブル1[[#This Row],[列7]]*100</f>
        <v>-3.4809094983904485</v>
      </c>
      <c r="P11" s="56">
        <f>テーブル1[[#This Row],[列12]]/テーブル1[[#This Row],[列8]]*100</f>
        <v>-2.4598138747884941</v>
      </c>
      <c r="Q11" s="56">
        <f>テーブル1[[#This Row],[列13]]/テーブル1[[#This Row],[列9]]*100</f>
        <v>-4.4296832010062106</v>
      </c>
      <c r="R11" s="52">
        <f>テーブル1[[#This Row],[列7]]/テーブル1[[#This Row],[列6]]</f>
        <v>2.523301544868005</v>
      </c>
      <c r="T11" s="54">
        <f t="shared" ca="1" si="3"/>
        <v>38903.108698680742</v>
      </c>
      <c r="U11" s="24" t="str">
        <f t="shared" si="2"/>
        <v>市</v>
      </c>
    </row>
    <row r="12" spans="1:21" ht="17.25" customHeight="1" x14ac:dyDescent="0.4">
      <c r="A12" s="17" t="s">
        <v>21</v>
      </c>
      <c r="B12" s="18">
        <v>20401</v>
      </c>
      <c r="C12" s="18">
        <v>50140</v>
      </c>
      <c r="D12" s="18">
        <v>24392</v>
      </c>
      <c r="E12" s="18">
        <v>25748</v>
      </c>
      <c r="F12" s="25">
        <v>20776</v>
      </c>
      <c r="G12" s="25">
        <v>48729</v>
      </c>
      <c r="H12" s="25">
        <v>23809</v>
      </c>
      <c r="I12" s="25">
        <v>24920</v>
      </c>
      <c r="J12" s="20">
        <f>テーブル1[[#This Row],[列6]]-テーブル1[[#This Row],[列2]]</f>
        <v>375</v>
      </c>
      <c r="K12" s="20">
        <f>テーブル1[[#This Row],[列7]]-テーブル1[[#This Row],[列3]]</f>
        <v>-1411</v>
      </c>
      <c r="L12" s="20">
        <f>テーブル1[[#This Row],[列8]]-テーブル1[[#This Row],[列4]]</f>
        <v>-583</v>
      </c>
      <c r="M12" s="20">
        <f>テーブル1[[#This Row],[列9]]-テーブル1[[#This Row],[列5]]</f>
        <v>-828</v>
      </c>
      <c r="N12" s="56">
        <f>テーブル1[[#This Row],[列10]]/テーブル1[[#This Row],[列6]]*100</f>
        <v>1.8049672699268386</v>
      </c>
      <c r="O12" s="56">
        <f>テーブル1[[#This Row],[列11]]/テーブル1[[#This Row],[列7]]*100</f>
        <v>-2.8956063124628044</v>
      </c>
      <c r="P12" s="56">
        <f>テーブル1[[#This Row],[列12]]/テーブル1[[#This Row],[列8]]*100</f>
        <v>-2.4486538703851486</v>
      </c>
      <c r="Q12" s="56">
        <f>テーブル1[[#This Row],[列13]]/テーブル1[[#This Row],[列9]]*100</f>
        <v>-3.3226324237560196</v>
      </c>
      <c r="R12" s="52">
        <f>テーブル1[[#This Row],[列7]]/テーブル1[[#This Row],[列6]]</f>
        <v>2.345446669233731</v>
      </c>
      <c r="T12" s="54">
        <f t="shared" ca="1" si="3"/>
        <v>20776.192072224021</v>
      </c>
      <c r="U12" s="24" t="str">
        <f t="shared" si="2"/>
        <v>市</v>
      </c>
    </row>
    <row r="13" spans="1:21" ht="17.25" customHeight="1" x14ac:dyDescent="0.4">
      <c r="A13" s="17" t="s">
        <v>22</v>
      </c>
      <c r="B13" s="18">
        <v>18447</v>
      </c>
      <c r="C13" s="18">
        <v>50725</v>
      </c>
      <c r="D13" s="18">
        <v>24790</v>
      </c>
      <c r="E13" s="18">
        <v>25935</v>
      </c>
      <c r="F13" s="25">
        <v>18839</v>
      </c>
      <c r="G13" s="25">
        <v>49559</v>
      </c>
      <c r="H13" s="25">
        <v>24324</v>
      </c>
      <c r="I13" s="25">
        <v>25235</v>
      </c>
      <c r="J13" s="20">
        <f>テーブル1[[#This Row],[列6]]-テーブル1[[#This Row],[列2]]</f>
        <v>392</v>
      </c>
      <c r="K13" s="20">
        <f>テーブル1[[#This Row],[列7]]-テーブル1[[#This Row],[列3]]</f>
        <v>-1166</v>
      </c>
      <c r="L13" s="20">
        <f>テーブル1[[#This Row],[列8]]-テーブル1[[#This Row],[列4]]</f>
        <v>-466</v>
      </c>
      <c r="M13" s="20">
        <f>テーブル1[[#This Row],[列9]]-テーブル1[[#This Row],[列5]]</f>
        <v>-700</v>
      </c>
      <c r="N13" s="56">
        <f>テーブル1[[#This Row],[列10]]/テーブル1[[#This Row],[列6]]*100</f>
        <v>2.0807898508413398</v>
      </c>
      <c r="O13" s="56">
        <f>テーブル1[[#This Row],[列11]]/テーブル1[[#This Row],[列7]]*100</f>
        <v>-2.3527512661675982</v>
      </c>
      <c r="P13" s="56">
        <f>テーブル1[[#This Row],[列12]]/テーブル1[[#This Row],[列8]]*100</f>
        <v>-1.9158033218220687</v>
      </c>
      <c r="Q13" s="56">
        <f>テーブル1[[#This Row],[列13]]/テーブル1[[#This Row],[列9]]*100</f>
        <v>-2.7739251040221915</v>
      </c>
      <c r="R13" s="52">
        <f>テーブル1[[#This Row],[列7]]/テーブル1[[#This Row],[列6]]</f>
        <v>2.6306598014756624</v>
      </c>
      <c r="T13" s="54">
        <f t="shared" ca="1" si="3"/>
        <v>18839.088958370794</v>
      </c>
      <c r="U13" s="24" t="str">
        <f t="shared" si="2"/>
        <v>市</v>
      </c>
    </row>
    <row r="14" spans="1:21" ht="17.25" customHeight="1" x14ac:dyDescent="0.4">
      <c r="A14" s="17" t="s">
        <v>23</v>
      </c>
      <c r="B14" s="18">
        <v>16662</v>
      </c>
      <c r="C14" s="18">
        <v>42512</v>
      </c>
      <c r="D14" s="18">
        <v>20623</v>
      </c>
      <c r="E14" s="18">
        <v>21889</v>
      </c>
      <c r="F14" s="25">
        <v>16831</v>
      </c>
      <c r="G14" s="25">
        <v>40991</v>
      </c>
      <c r="H14" s="25">
        <v>19972</v>
      </c>
      <c r="I14" s="25">
        <v>21019</v>
      </c>
      <c r="J14" s="20">
        <f>テーブル1[[#This Row],[列6]]-テーブル1[[#This Row],[列2]]</f>
        <v>169</v>
      </c>
      <c r="K14" s="20">
        <f>テーブル1[[#This Row],[列7]]-テーブル1[[#This Row],[列3]]</f>
        <v>-1521</v>
      </c>
      <c r="L14" s="20">
        <f>テーブル1[[#This Row],[列8]]-テーブル1[[#This Row],[列4]]</f>
        <v>-651</v>
      </c>
      <c r="M14" s="20">
        <f>テーブル1[[#This Row],[列9]]-テーブル1[[#This Row],[列5]]</f>
        <v>-870</v>
      </c>
      <c r="N14" s="56">
        <f>テーブル1[[#This Row],[列10]]/テーブル1[[#This Row],[列6]]*100</f>
        <v>1.0040995781593489</v>
      </c>
      <c r="O14" s="56">
        <f>テーブル1[[#This Row],[列11]]/テーブル1[[#This Row],[列7]]*100</f>
        <v>-3.7105706130614036</v>
      </c>
      <c r="P14" s="56">
        <f>テーブル1[[#This Row],[列12]]/テーブル1[[#This Row],[列8]]*100</f>
        <v>-3.2595633887442417</v>
      </c>
      <c r="Q14" s="56">
        <f>テーブル1[[#This Row],[列13]]/テーブル1[[#This Row],[列9]]*100</f>
        <v>-4.1391122317902855</v>
      </c>
      <c r="R14" s="52">
        <f>テーブル1[[#This Row],[列7]]/テーブル1[[#This Row],[列6]]</f>
        <v>2.4354464975343117</v>
      </c>
      <c r="T14" s="54">
        <f t="shared" ca="1" si="3"/>
        <v>16831.115605142051</v>
      </c>
      <c r="U14" s="24" t="str">
        <f t="shared" si="2"/>
        <v>市</v>
      </c>
    </row>
    <row r="15" spans="1:21" ht="17.25" customHeight="1" x14ac:dyDescent="0.4">
      <c r="A15" s="17" t="s">
        <v>24</v>
      </c>
      <c r="B15" s="18">
        <v>26231</v>
      </c>
      <c r="C15" s="18">
        <v>68271</v>
      </c>
      <c r="D15" s="18">
        <v>33445</v>
      </c>
      <c r="E15" s="18">
        <v>34826</v>
      </c>
      <c r="F15" s="25">
        <v>26238</v>
      </c>
      <c r="G15" s="25">
        <v>66125</v>
      </c>
      <c r="H15" s="25">
        <v>32437</v>
      </c>
      <c r="I15" s="25">
        <v>33688</v>
      </c>
      <c r="J15" s="20">
        <f>テーブル1[[#This Row],[列6]]-テーブル1[[#This Row],[列2]]</f>
        <v>7</v>
      </c>
      <c r="K15" s="20">
        <f>テーブル1[[#This Row],[列7]]-テーブル1[[#This Row],[列3]]</f>
        <v>-2146</v>
      </c>
      <c r="L15" s="20">
        <f>テーブル1[[#This Row],[列8]]-テーブル1[[#This Row],[列4]]</f>
        <v>-1008</v>
      </c>
      <c r="M15" s="20">
        <f>テーブル1[[#This Row],[列9]]-テーブル1[[#This Row],[列5]]</f>
        <v>-1138</v>
      </c>
      <c r="N15" s="56">
        <f>テーブル1[[#This Row],[列10]]/テーブル1[[#This Row],[列6]]*100</f>
        <v>2.6678862718194984E-2</v>
      </c>
      <c r="O15" s="56">
        <f>テーブル1[[#This Row],[列11]]/テーブル1[[#This Row],[列7]]*100</f>
        <v>-3.2453686200378069</v>
      </c>
      <c r="P15" s="56">
        <f>テーブル1[[#This Row],[列12]]/テーブル1[[#This Row],[列8]]*100</f>
        <v>-3.1075623516354778</v>
      </c>
      <c r="Q15" s="56">
        <f>テーブル1[[#This Row],[列13]]/テーブル1[[#This Row],[列9]]*100</f>
        <v>-3.3780574685347897</v>
      </c>
      <c r="R15" s="52">
        <f>テーブル1[[#This Row],[列7]]/テーブル1[[#This Row],[列6]]</f>
        <v>2.5201997103437761</v>
      </c>
      <c r="T15" s="54">
        <f t="shared" ca="1" si="3"/>
        <v>26238.142857477917</v>
      </c>
      <c r="U15" s="24" t="str">
        <f t="shared" si="2"/>
        <v>市</v>
      </c>
    </row>
    <row r="16" spans="1:21" ht="17.25" customHeight="1" x14ac:dyDescent="0.4">
      <c r="A16" s="17" t="s">
        <v>4</v>
      </c>
      <c r="B16" s="18">
        <v>12437</v>
      </c>
      <c r="C16" s="18">
        <v>32759</v>
      </c>
      <c r="D16" s="18">
        <v>16006</v>
      </c>
      <c r="E16" s="18">
        <v>16753</v>
      </c>
      <c r="F16" s="25">
        <v>12956</v>
      </c>
      <c r="G16" s="25">
        <v>32202</v>
      </c>
      <c r="H16" s="25">
        <v>15729</v>
      </c>
      <c r="I16" s="25">
        <v>16473</v>
      </c>
      <c r="J16" s="20">
        <f>テーブル1[[#This Row],[列6]]-テーブル1[[#This Row],[列2]]</f>
        <v>519</v>
      </c>
      <c r="K16" s="20">
        <f>テーブル1[[#This Row],[列7]]-テーブル1[[#This Row],[列3]]</f>
        <v>-557</v>
      </c>
      <c r="L16" s="20">
        <f>テーブル1[[#This Row],[列8]]-テーブル1[[#This Row],[列4]]</f>
        <v>-277</v>
      </c>
      <c r="M16" s="20">
        <f>テーブル1[[#This Row],[列9]]-テーブル1[[#This Row],[列5]]</f>
        <v>-280</v>
      </c>
      <c r="N16" s="56">
        <f>テーブル1[[#This Row],[列10]]/テーブル1[[#This Row],[列6]]*100</f>
        <v>4.0058660080271684</v>
      </c>
      <c r="O16" s="56">
        <f>テーブル1[[#This Row],[列11]]/テーブル1[[#This Row],[列7]]*100</f>
        <v>-1.7297062294267436</v>
      </c>
      <c r="P16" s="56">
        <f>テーブル1[[#This Row],[列12]]/テーブル1[[#This Row],[列8]]*100</f>
        <v>-1.7610782630809334</v>
      </c>
      <c r="Q16" s="56">
        <f>テーブル1[[#This Row],[列13]]/テーブル1[[#This Row],[列9]]*100</f>
        <v>-1.6997511078734902</v>
      </c>
      <c r="R16" s="52">
        <f>テーブル1[[#This Row],[列7]]/テーブル1[[#This Row],[列6]]</f>
        <v>2.4854893485643719</v>
      </c>
      <c r="T16" s="54">
        <f t="shared" ca="1" si="3"/>
        <v>12956.063742918112</v>
      </c>
      <c r="U16" s="24" t="str">
        <f t="shared" si="2"/>
        <v>市</v>
      </c>
    </row>
    <row r="17" spans="1:21" ht="17.25" customHeight="1" x14ac:dyDescent="0.4">
      <c r="A17" s="17" t="s">
        <v>25</v>
      </c>
      <c r="B17" s="18">
        <v>15296</v>
      </c>
      <c r="C17" s="18">
        <v>43909</v>
      </c>
      <c r="D17" s="18">
        <v>21243</v>
      </c>
      <c r="E17" s="18">
        <v>22666</v>
      </c>
      <c r="F17" s="25">
        <v>15799</v>
      </c>
      <c r="G17" s="25">
        <v>42338</v>
      </c>
      <c r="H17" s="25">
        <v>20552</v>
      </c>
      <c r="I17" s="25">
        <v>21786</v>
      </c>
      <c r="J17" s="20">
        <f>テーブル1[[#This Row],[列6]]-テーブル1[[#This Row],[列2]]</f>
        <v>503</v>
      </c>
      <c r="K17" s="20">
        <f>テーブル1[[#This Row],[列7]]-テーブル1[[#This Row],[列3]]</f>
        <v>-1571</v>
      </c>
      <c r="L17" s="20">
        <f>テーブル1[[#This Row],[列8]]-テーブル1[[#This Row],[列4]]</f>
        <v>-691</v>
      </c>
      <c r="M17" s="20">
        <f>テーブル1[[#This Row],[列9]]-テーブル1[[#This Row],[列5]]</f>
        <v>-880</v>
      </c>
      <c r="N17" s="56">
        <f>テーブル1[[#This Row],[列10]]/テーブル1[[#This Row],[列6]]*100</f>
        <v>3.1837458066966264</v>
      </c>
      <c r="O17" s="56">
        <f>テーブル1[[#This Row],[列11]]/テーブル1[[#This Row],[列7]]*100</f>
        <v>-3.7106145779205444</v>
      </c>
      <c r="P17" s="56">
        <f>テーブル1[[#This Row],[列12]]/テーブル1[[#This Row],[列8]]*100</f>
        <v>-3.3622031919034643</v>
      </c>
      <c r="Q17" s="56">
        <f>テーブル1[[#This Row],[列13]]/テーブル1[[#This Row],[列9]]*100</f>
        <v>-4.0392912879831089</v>
      </c>
      <c r="R17" s="52">
        <f>テーブル1[[#This Row],[列7]]/テーブル1[[#This Row],[列6]]</f>
        <v>2.679789860117729</v>
      </c>
      <c r="T17" s="54">
        <f t="shared" ca="1" si="3"/>
        <v>15799.157963225658</v>
      </c>
      <c r="U17" s="24" t="str">
        <f t="shared" si="2"/>
        <v>市</v>
      </c>
    </row>
    <row r="18" spans="1:21" ht="17.25" customHeight="1" x14ac:dyDescent="0.4">
      <c r="A18" s="17" t="s">
        <v>26</v>
      </c>
      <c r="B18" s="18">
        <v>10826</v>
      </c>
      <c r="C18" s="18">
        <v>28041</v>
      </c>
      <c r="D18" s="18">
        <v>13555</v>
      </c>
      <c r="E18" s="18">
        <v>14486</v>
      </c>
      <c r="F18" s="25">
        <v>10739</v>
      </c>
      <c r="G18" s="25">
        <v>26029</v>
      </c>
      <c r="H18" s="25">
        <v>12594</v>
      </c>
      <c r="I18" s="25">
        <v>13435</v>
      </c>
      <c r="J18" s="20">
        <f>テーブル1[[#This Row],[列6]]-テーブル1[[#This Row],[列2]]</f>
        <v>-87</v>
      </c>
      <c r="K18" s="20">
        <f>テーブル1[[#This Row],[列7]]-テーブル1[[#This Row],[列3]]</f>
        <v>-2012</v>
      </c>
      <c r="L18" s="20">
        <f>テーブル1[[#This Row],[列8]]-テーブル1[[#This Row],[列4]]</f>
        <v>-961</v>
      </c>
      <c r="M18" s="20">
        <f>テーブル1[[#This Row],[列9]]-テーブル1[[#This Row],[列5]]</f>
        <v>-1051</v>
      </c>
      <c r="N18" s="56">
        <f>テーブル1[[#This Row],[列10]]/テーブル1[[#This Row],[列6]]*100</f>
        <v>-0.81013129714126075</v>
      </c>
      <c r="O18" s="56">
        <f>テーブル1[[#This Row],[列11]]/テーブル1[[#This Row],[列7]]*100</f>
        <v>-7.7298397940758381</v>
      </c>
      <c r="P18" s="56">
        <f>テーブル1[[#This Row],[列12]]/テーブル1[[#This Row],[列8]]*100</f>
        <v>-7.6306177544862628</v>
      </c>
      <c r="Q18" s="56">
        <f>テーブル1[[#This Row],[列13]]/テーブル1[[#This Row],[列9]]*100</f>
        <v>-7.8228507629326387</v>
      </c>
      <c r="R18" s="52">
        <f>テーブル1[[#This Row],[列7]]/テーブル1[[#This Row],[列6]]</f>
        <v>2.4237824750907904</v>
      </c>
      <c r="T18" s="54">
        <f t="shared" ca="1" si="3"/>
        <v>10739.032430867879</v>
      </c>
      <c r="U18" s="24" t="str">
        <f t="shared" si="2"/>
        <v>市</v>
      </c>
    </row>
    <row r="19" spans="1:21" ht="17.25" customHeight="1" x14ac:dyDescent="0.4">
      <c r="A19" s="17" t="s">
        <v>27</v>
      </c>
      <c r="B19" s="18">
        <v>7423</v>
      </c>
      <c r="C19" s="18">
        <v>21438</v>
      </c>
      <c r="D19" s="18">
        <v>10365</v>
      </c>
      <c r="E19" s="18">
        <v>11073</v>
      </c>
      <c r="F19" s="25">
        <v>7251</v>
      </c>
      <c r="G19" s="25">
        <v>19539</v>
      </c>
      <c r="H19" s="25">
        <v>9498</v>
      </c>
      <c r="I19" s="25">
        <v>10041</v>
      </c>
      <c r="J19" s="20">
        <f>テーブル1[[#This Row],[列6]]-テーブル1[[#This Row],[列2]]</f>
        <v>-172</v>
      </c>
      <c r="K19" s="20">
        <f>テーブル1[[#This Row],[列7]]-テーブル1[[#This Row],[列3]]</f>
        <v>-1899</v>
      </c>
      <c r="L19" s="20">
        <f>テーブル1[[#This Row],[列8]]-テーブル1[[#This Row],[列4]]</f>
        <v>-867</v>
      </c>
      <c r="M19" s="20">
        <f>テーブル1[[#This Row],[列9]]-テーブル1[[#This Row],[列5]]</f>
        <v>-1032</v>
      </c>
      <c r="N19" s="56">
        <f>テーブル1[[#This Row],[列10]]/テーブル1[[#This Row],[列6]]*100</f>
        <v>-2.3720866087436216</v>
      </c>
      <c r="O19" s="56">
        <f>テーブル1[[#This Row],[列11]]/テーブル1[[#This Row],[列7]]*100</f>
        <v>-9.7190234914785822</v>
      </c>
      <c r="P19" s="56">
        <f>テーブル1[[#This Row],[列12]]/テーブル1[[#This Row],[列8]]*100</f>
        <v>-9.1282375236891973</v>
      </c>
      <c r="Q19" s="56">
        <f>テーブル1[[#This Row],[列13]]/テーブル1[[#This Row],[列9]]*100</f>
        <v>-10.277860770839558</v>
      </c>
      <c r="R19" s="52">
        <f>テーブル1[[#This Row],[列7]]/テーブル1[[#This Row],[列6]]</f>
        <v>2.694662805130327</v>
      </c>
      <c r="T19" s="54">
        <f t="shared" ca="1" si="3"/>
        <v>7251.0028521667546</v>
      </c>
      <c r="U19" s="24" t="str">
        <f t="shared" si="2"/>
        <v>市</v>
      </c>
    </row>
    <row r="20" spans="1:21" ht="17.25" customHeight="1" x14ac:dyDescent="0.4">
      <c r="A20" s="17" t="s">
        <v>28</v>
      </c>
      <c r="B20" s="18">
        <v>22301</v>
      </c>
      <c r="C20" s="18">
        <v>55912</v>
      </c>
      <c r="D20" s="18">
        <v>27811</v>
      </c>
      <c r="E20" s="18">
        <v>28101</v>
      </c>
      <c r="F20" s="25">
        <v>23848</v>
      </c>
      <c r="G20" s="25">
        <v>56400</v>
      </c>
      <c r="H20" s="25">
        <v>28241</v>
      </c>
      <c r="I20" s="25">
        <v>28159</v>
      </c>
      <c r="J20" s="20">
        <f>テーブル1[[#This Row],[列6]]-テーブル1[[#This Row],[列2]]</f>
        <v>1547</v>
      </c>
      <c r="K20" s="20">
        <f>テーブル1[[#This Row],[列7]]-テーブル1[[#This Row],[列3]]</f>
        <v>488</v>
      </c>
      <c r="L20" s="20">
        <f>テーブル1[[#This Row],[列8]]-テーブル1[[#This Row],[列4]]</f>
        <v>430</v>
      </c>
      <c r="M20" s="20">
        <f>テーブル1[[#This Row],[列9]]-テーブル1[[#This Row],[列5]]</f>
        <v>58</v>
      </c>
      <c r="N20" s="56">
        <f>テーブル1[[#This Row],[列10]]/テーブル1[[#This Row],[列6]]*100</f>
        <v>6.486917141898692</v>
      </c>
      <c r="O20" s="56">
        <f>テーブル1[[#This Row],[列11]]/テーブル1[[#This Row],[列7]]*100</f>
        <v>0.86524822695035453</v>
      </c>
      <c r="P20" s="56">
        <f>テーブル1[[#This Row],[列12]]/テーブル1[[#This Row],[列8]]*100</f>
        <v>1.5226089727700862</v>
      </c>
      <c r="Q20" s="56">
        <f>テーブル1[[#This Row],[列13]]/テーブル1[[#This Row],[列9]]*100</f>
        <v>0.20597322348094746</v>
      </c>
      <c r="R20" s="52">
        <f>テーブル1[[#This Row],[列7]]/テーブル1[[#This Row],[列6]]</f>
        <v>2.3649781952364979</v>
      </c>
      <c r="T20" s="54">
        <f t="shared" ca="1" si="3"/>
        <v>23848.190234803737</v>
      </c>
      <c r="U20" s="24" t="str">
        <f t="shared" si="2"/>
        <v>市</v>
      </c>
    </row>
    <row r="21" spans="1:21" ht="17.25" customHeight="1" x14ac:dyDescent="0.4">
      <c r="A21" s="17" t="s">
        <v>29</v>
      </c>
      <c r="B21" s="18">
        <v>26350</v>
      </c>
      <c r="C21" s="18">
        <v>67135</v>
      </c>
      <c r="D21" s="18">
        <v>33347</v>
      </c>
      <c r="E21" s="18">
        <v>33788</v>
      </c>
      <c r="F21" s="25">
        <v>27997</v>
      </c>
      <c r="G21" s="25">
        <v>67241</v>
      </c>
      <c r="H21" s="25">
        <v>33620</v>
      </c>
      <c r="I21" s="25">
        <v>33621</v>
      </c>
      <c r="J21" s="20">
        <f>テーブル1[[#This Row],[列6]]-テーブル1[[#This Row],[列2]]</f>
        <v>1647</v>
      </c>
      <c r="K21" s="20">
        <f>テーブル1[[#This Row],[列7]]-テーブル1[[#This Row],[列3]]</f>
        <v>106</v>
      </c>
      <c r="L21" s="20">
        <f>テーブル1[[#This Row],[列8]]-テーブル1[[#This Row],[列4]]</f>
        <v>273</v>
      </c>
      <c r="M21" s="20">
        <f>テーブル1[[#This Row],[列9]]-テーブル1[[#This Row],[列5]]</f>
        <v>-167</v>
      </c>
      <c r="N21" s="56">
        <f>テーブル1[[#This Row],[列10]]/テーブル1[[#This Row],[列6]]*100</f>
        <v>5.8827731542665287</v>
      </c>
      <c r="O21" s="56">
        <f>テーブル1[[#This Row],[列11]]/テーブル1[[#This Row],[列7]]*100</f>
        <v>0.15764191490310969</v>
      </c>
      <c r="P21" s="56">
        <f>テーブル1[[#This Row],[列12]]/テーブル1[[#This Row],[列8]]*100</f>
        <v>0.81201665675193335</v>
      </c>
      <c r="Q21" s="56">
        <f>テーブル1[[#This Row],[列13]]/テーブル1[[#This Row],[列9]]*100</f>
        <v>-0.49671336367151481</v>
      </c>
      <c r="R21" s="52">
        <f>テーブル1[[#This Row],[列7]]/テーブル1[[#This Row],[列6]]</f>
        <v>2.4017216130299675</v>
      </c>
      <c r="T21" s="54">
        <f t="shared" ca="1" si="3"/>
        <v>27997.093000626362</v>
      </c>
      <c r="U21" s="24" t="str">
        <f t="shared" si="2"/>
        <v>市</v>
      </c>
    </row>
    <row r="22" spans="1:21" ht="17.25" customHeight="1" x14ac:dyDescent="0.4">
      <c r="A22" s="17" t="s">
        <v>30</v>
      </c>
      <c r="B22" s="18">
        <v>38487</v>
      </c>
      <c r="C22" s="18">
        <v>99368</v>
      </c>
      <c r="D22" s="18">
        <v>48454</v>
      </c>
      <c r="E22" s="18">
        <v>50914</v>
      </c>
      <c r="F22" s="25">
        <v>39924</v>
      </c>
      <c r="G22" s="25">
        <v>98199</v>
      </c>
      <c r="H22" s="25">
        <v>48035</v>
      </c>
      <c r="I22" s="25">
        <v>50164</v>
      </c>
      <c r="J22" s="20">
        <f>テーブル1[[#This Row],[列6]]-テーブル1[[#This Row],[列2]]</f>
        <v>1437</v>
      </c>
      <c r="K22" s="20">
        <f>テーブル1[[#This Row],[列7]]-テーブル1[[#This Row],[列3]]</f>
        <v>-1169</v>
      </c>
      <c r="L22" s="20">
        <f>テーブル1[[#This Row],[列8]]-テーブル1[[#This Row],[列4]]</f>
        <v>-419</v>
      </c>
      <c r="M22" s="20">
        <f>テーブル1[[#This Row],[列9]]-テーブル1[[#This Row],[列5]]</f>
        <v>-750</v>
      </c>
      <c r="N22" s="56">
        <f>テーブル1[[#This Row],[列10]]/テーブル1[[#This Row],[列6]]*100</f>
        <v>3.5993387436128641</v>
      </c>
      <c r="O22" s="56">
        <f>テーブル1[[#This Row],[列11]]/テーブル1[[#This Row],[列7]]*100</f>
        <v>-1.1904398211794418</v>
      </c>
      <c r="P22" s="56">
        <f>テーブル1[[#This Row],[列12]]/テーブル1[[#This Row],[列8]]*100</f>
        <v>-0.87228062870823353</v>
      </c>
      <c r="Q22" s="56">
        <f>テーブル1[[#This Row],[列13]]/テーブル1[[#This Row],[列9]]*100</f>
        <v>-1.4950960848417192</v>
      </c>
      <c r="R22" s="52">
        <f>テーブル1[[#This Row],[列7]]/テーブル1[[#This Row],[列6]]</f>
        <v>2.4596483318304778</v>
      </c>
      <c r="T22" s="54">
        <f t="shared" ca="1" si="3"/>
        <v>39924.18775145361</v>
      </c>
      <c r="U22" s="24" t="str">
        <f t="shared" si="2"/>
        <v>市</v>
      </c>
    </row>
    <row r="23" spans="1:21" ht="17.25" customHeight="1" x14ac:dyDescent="0.4">
      <c r="A23" s="17" t="s">
        <v>31</v>
      </c>
      <c r="B23" s="18">
        <v>21573</v>
      </c>
      <c r="C23" s="18">
        <v>60298</v>
      </c>
      <c r="D23" s="18">
        <v>29105</v>
      </c>
      <c r="E23" s="18">
        <v>31193</v>
      </c>
      <c r="F23" s="25">
        <v>22023</v>
      </c>
      <c r="G23" s="25">
        <v>58852</v>
      </c>
      <c r="H23" s="25">
        <v>28404</v>
      </c>
      <c r="I23" s="25">
        <v>30448</v>
      </c>
      <c r="J23" s="20">
        <f>テーブル1[[#This Row],[列6]]-テーブル1[[#This Row],[列2]]</f>
        <v>450</v>
      </c>
      <c r="K23" s="20">
        <f>テーブル1[[#This Row],[列7]]-テーブル1[[#This Row],[列3]]</f>
        <v>-1446</v>
      </c>
      <c r="L23" s="20">
        <f>テーブル1[[#This Row],[列8]]-テーブル1[[#This Row],[列4]]</f>
        <v>-701</v>
      </c>
      <c r="M23" s="20">
        <f>テーブル1[[#This Row],[列9]]-テーブル1[[#This Row],[列5]]</f>
        <v>-745</v>
      </c>
      <c r="N23" s="56">
        <f>テーブル1[[#This Row],[列10]]/テーブル1[[#This Row],[列6]]*100</f>
        <v>2.0433183489987741</v>
      </c>
      <c r="O23" s="56">
        <f>テーブル1[[#This Row],[列11]]/テーブル1[[#This Row],[列7]]*100</f>
        <v>-2.4570108067695235</v>
      </c>
      <c r="P23" s="56">
        <f>テーブル1[[#This Row],[列12]]/テーブル1[[#This Row],[列8]]*100</f>
        <v>-2.4679622588367836</v>
      </c>
      <c r="Q23" s="56">
        <f>テーブル1[[#This Row],[列13]]/テーブル1[[#This Row],[列9]]*100</f>
        <v>-2.4467945349448241</v>
      </c>
      <c r="R23" s="52">
        <f>テーブル1[[#This Row],[列7]]/テーブル1[[#This Row],[列6]]</f>
        <v>2.6722971438950189</v>
      </c>
      <c r="T23" s="54">
        <f t="shared" ca="1" si="3"/>
        <v>22023.050031816958</v>
      </c>
      <c r="U23" s="24" t="str">
        <f t="shared" si="2"/>
        <v>市</v>
      </c>
    </row>
    <row r="24" spans="1:21" ht="17.25" customHeight="1" x14ac:dyDescent="0.4">
      <c r="A24" s="17" t="s">
        <v>32</v>
      </c>
      <c r="B24" s="18">
        <v>11004</v>
      </c>
      <c r="C24" s="18">
        <v>30107</v>
      </c>
      <c r="D24" s="18">
        <v>14774</v>
      </c>
      <c r="E24" s="18">
        <v>15333</v>
      </c>
      <c r="F24" s="25">
        <v>11260</v>
      </c>
      <c r="G24" s="25">
        <v>30122</v>
      </c>
      <c r="H24" s="25">
        <v>14776</v>
      </c>
      <c r="I24" s="25">
        <v>15346</v>
      </c>
      <c r="J24" s="20">
        <f>テーブル1[[#This Row],[列6]]-テーブル1[[#This Row],[列2]]</f>
        <v>256</v>
      </c>
      <c r="K24" s="20">
        <f>テーブル1[[#This Row],[列7]]-テーブル1[[#This Row],[列3]]</f>
        <v>15</v>
      </c>
      <c r="L24" s="20">
        <f>テーブル1[[#This Row],[列8]]-テーブル1[[#This Row],[列4]]</f>
        <v>2</v>
      </c>
      <c r="M24" s="20">
        <f>テーブル1[[#This Row],[列9]]-テーブル1[[#This Row],[列5]]</f>
        <v>13</v>
      </c>
      <c r="N24" s="56">
        <f>テーブル1[[#This Row],[列10]]/テーブル1[[#This Row],[列6]]*100</f>
        <v>2.2735346358792183</v>
      </c>
      <c r="O24" s="56">
        <f>テーブル1[[#This Row],[列11]]/テーブル1[[#This Row],[列7]]*100</f>
        <v>4.97974902064936E-2</v>
      </c>
      <c r="P24" s="56">
        <f>テーブル1[[#This Row],[列12]]/テーブル1[[#This Row],[列8]]*100</f>
        <v>1.3535462912831619E-2</v>
      </c>
      <c r="Q24" s="56">
        <f>テーブル1[[#This Row],[列13]]/テーブル1[[#This Row],[列9]]*100</f>
        <v>8.4712628698032061E-2</v>
      </c>
      <c r="R24" s="52">
        <f>テーブル1[[#This Row],[列7]]/テーブル1[[#This Row],[列6]]</f>
        <v>2.6751332149200708</v>
      </c>
      <c r="T24" s="54">
        <f t="shared" ca="1" si="3"/>
        <v>11260.099606788195</v>
      </c>
      <c r="U24" s="24" t="str">
        <f t="shared" si="2"/>
        <v>市</v>
      </c>
    </row>
    <row r="25" spans="1:21" ht="17.25" customHeight="1" x14ac:dyDescent="0.4">
      <c r="A25" s="17" t="s">
        <v>5</v>
      </c>
      <c r="B25" s="18">
        <v>34732</v>
      </c>
      <c r="C25" s="18">
        <v>95282</v>
      </c>
      <c r="D25" s="18">
        <v>45866</v>
      </c>
      <c r="E25" s="18">
        <v>49416</v>
      </c>
      <c r="F25" s="25">
        <v>36491</v>
      </c>
      <c r="G25" s="25">
        <v>94222</v>
      </c>
      <c r="H25" s="25">
        <v>45398</v>
      </c>
      <c r="I25" s="25">
        <v>48824</v>
      </c>
      <c r="J25" s="20">
        <f>テーブル1[[#This Row],[列6]]-テーブル1[[#This Row],[列2]]</f>
        <v>1759</v>
      </c>
      <c r="K25" s="20">
        <f>テーブル1[[#This Row],[列7]]-テーブル1[[#This Row],[列3]]</f>
        <v>-1060</v>
      </c>
      <c r="L25" s="20">
        <f>テーブル1[[#This Row],[列8]]-テーブル1[[#This Row],[列4]]</f>
        <v>-468</v>
      </c>
      <c r="M25" s="20">
        <f>テーブル1[[#This Row],[列9]]-テーブル1[[#This Row],[列5]]</f>
        <v>-592</v>
      </c>
      <c r="N25" s="56">
        <f>テーブル1[[#This Row],[列10]]/テーブル1[[#This Row],[列6]]*100</f>
        <v>4.8203666657531992</v>
      </c>
      <c r="O25" s="56">
        <f>テーブル1[[#This Row],[列11]]/テーブル1[[#This Row],[列7]]*100</f>
        <v>-1.1250026533081445</v>
      </c>
      <c r="P25" s="56">
        <f>テーブル1[[#This Row],[列12]]/テーブル1[[#This Row],[列8]]*100</f>
        <v>-1.0308824177276532</v>
      </c>
      <c r="Q25" s="56">
        <f>テーブル1[[#This Row],[列13]]/テーブル1[[#This Row],[列9]]*100</f>
        <v>-1.212518433557267</v>
      </c>
      <c r="R25" s="52">
        <f>テーブル1[[#This Row],[列7]]/テーブル1[[#This Row],[列6]]</f>
        <v>2.582061330191006</v>
      </c>
      <c r="T25" s="54">
        <f t="shared" ca="1" si="3"/>
        <v>36491.238574781259</v>
      </c>
      <c r="U25" s="24" t="str">
        <f t="shared" si="2"/>
        <v>市</v>
      </c>
    </row>
    <row r="26" spans="1:21" ht="17.25" customHeight="1" x14ac:dyDescent="0.4">
      <c r="A26" s="17" t="s">
        <v>33</v>
      </c>
      <c r="B26" s="18">
        <v>1873</v>
      </c>
      <c r="C26" s="18">
        <v>4713</v>
      </c>
      <c r="D26" s="18">
        <v>2276</v>
      </c>
      <c r="E26" s="18">
        <v>2437</v>
      </c>
      <c r="F26" s="25">
        <v>1788</v>
      </c>
      <c r="G26" s="25">
        <v>4353</v>
      </c>
      <c r="H26" s="25">
        <v>2140</v>
      </c>
      <c r="I26" s="25">
        <v>2213</v>
      </c>
      <c r="J26" s="20">
        <f>テーブル1[[#This Row],[列6]]-テーブル1[[#This Row],[列2]]</f>
        <v>-85</v>
      </c>
      <c r="K26" s="20">
        <f>テーブル1[[#This Row],[列7]]-テーブル1[[#This Row],[列3]]</f>
        <v>-360</v>
      </c>
      <c r="L26" s="20">
        <f>テーブル1[[#This Row],[列8]]-テーブル1[[#This Row],[列4]]</f>
        <v>-136</v>
      </c>
      <c r="M26" s="20">
        <f>テーブル1[[#This Row],[列9]]-テーブル1[[#This Row],[列5]]</f>
        <v>-224</v>
      </c>
      <c r="N26" s="56">
        <f>テーブル1[[#This Row],[列10]]/テーブル1[[#This Row],[列6]]*100</f>
        <v>-4.7539149888143184</v>
      </c>
      <c r="O26" s="56">
        <f>テーブル1[[#This Row],[列11]]/テーブル1[[#This Row],[列7]]*100</f>
        <v>-8.2701585113714682</v>
      </c>
      <c r="P26" s="56">
        <f>テーブル1[[#This Row],[列12]]/テーブル1[[#This Row],[列8]]*100</f>
        <v>-6.3551401869158877</v>
      </c>
      <c r="Q26" s="56">
        <f>テーブル1[[#This Row],[列13]]/テーブル1[[#This Row],[列9]]*100</f>
        <v>-10.122006326253954</v>
      </c>
      <c r="R26" s="52">
        <f>テーブル1[[#This Row],[列7]]/テーブル1[[#This Row],[列6]]</f>
        <v>2.4345637583892619</v>
      </c>
      <c r="T26" s="54">
        <f t="shared" ca="1" si="3"/>
        <v>1788.010534999486</v>
      </c>
      <c r="U26" s="24" t="str">
        <f t="shared" si="2"/>
        <v>町</v>
      </c>
    </row>
    <row r="27" spans="1:21" ht="17.25" customHeight="1" x14ac:dyDescent="0.4">
      <c r="A27" s="17" t="s">
        <v>34</v>
      </c>
      <c r="B27" s="18">
        <v>1205</v>
      </c>
      <c r="C27" s="18">
        <v>4607</v>
      </c>
      <c r="D27" s="18">
        <v>2731</v>
      </c>
      <c r="E27" s="18">
        <v>1876</v>
      </c>
      <c r="F27" s="25">
        <v>1257</v>
      </c>
      <c r="G27" s="25">
        <v>4344</v>
      </c>
      <c r="H27" s="25">
        <v>2591</v>
      </c>
      <c r="I27" s="25">
        <v>1753</v>
      </c>
      <c r="J27" s="20">
        <f>テーブル1[[#This Row],[列6]]-テーブル1[[#This Row],[列2]]</f>
        <v>52</v>
      </c>
      <c r="K27" s="20">
        <f>テーブル1[[#This Row],[列7]]-テーブル1[[#This Row],[列3]]</f>
        <v>-263</v>
      </c>
      <c r="L27" s="20">
        <f>テーブル1[[#This Row],[列8]]-テーブル1[[#This Row],[列4]]</f>
        <v>-140</v>
      </c>
      <c r="M27" s="20">
        <f>テーブル1[[#This Row],[列9]]-テーブル1[[#This Row],[列5]]</f>
        <v>-123</v>
      </c>
      <c r="N27" s="56">
        <f>テーブル1[[#This Row],[列10]]/テーブル1[[#This Row],[列6]]*100</f>
        <v>4.1368337311058072</v>
      </c>
      <c r="O27" s="56">
        <f>テーブル1[[#This Row],[列11]]/テーブル1[[#This Row],[列7]]*100</f>
        <v>-6.0543278084714549</v>
      </c>
      <c r="P27" s="56">
        <f>テーブル1[[#This Row],[列12]]/テーブル1[[#This Row],[列8]]*100</f>
        <v>-5.403319181783095</v>
      </c>
      <c r="Q27" s="56">
        <f>テーブル1[[#This Row],[列13]]/テーブル1[[#This Row],[列9]]*100</f>
        <v>-7.0165430690245296</v>
      </c>
      <c r="R27" s="52">
        <f>テーブル1[[#This Row],[列7]]/テーブル1[[#This Row],[列6]]</f>
        <v>3.4558472553699282</v>
      </c>
      <c r="T27" s="54">
        <f t="shared" ca="1" si="3"/>
        <v>1257.0042288132886</v>
      </c>
      <c r="U27" s="24" t="str">
        <f t="shared" si="2"/>
        <v>村</v>
      </c>
    </row>
    <row r="28" spans="1:21" ht="17.25" customHeight="1" x14ac:dyDescent="0.4">
      <c r="A28" s="17" t="s">
        <v>35</v>
      </c>
      <c r="B28" s="18">
        <v>1036</v>
      </c>
      <c r="C28" s="18">
        <v>3408</v>
      </c>
      <c r="D28" s="18">
        <v>1848</v>
      </c>
      <c r="E28" s="18">
        <v>1560</v>
      </c>
      <c r="F28" s="25">
        <v>1075</v>
      </c>
      <c r="G28" s="25">
        <v>3242</v>
      </c>
      <c r="H28" s="25">
        <v>1807</v>
      </c>
      <c r="I28" s="25">
        <v>1435</v>
      </c>
      <c r="J28" s="20">
        <f>テーブル1[[#This Row],[列6]]-テーブル1[[#This Row],[列2]]</f>
        <v>39</v>
      </c>
      <c r="K28" s="20">
        <f>テーブル1[[#This Row],[列7]]-テーブル1[[#This Row],[列3]]</f>
        <v>-166</v>
      </c>
      <c r="L28" s="20">
        <f>テーブル1[[#This Row],[列8]]-テーブル1[[#This Row],[列4]]</f>
        <v>-41</v>
      </c>
      <c r="M28" s="20">
        <f>テーブル1[[#This Row],[列9]]-テーブル1[[#This Row],[列5]]</f>
        <v>-125</v>
      </c>
      <c r="N28" s="56">
        <f>テーブル1[[#This Row],[列10]]/テーブル1[[#This Row],[列6]]*100</f>
        <v>3.6279069767441858</v>
      </c>
      <c r="O28" s="56">
        <f>テーブル1[[#This Row],[列11]]/テーブル1[[#This Row],[列7]]*100</f>
        <v>-5.1202961135101788</v>
      </c>
      <c r="P28" s="56">
        <f>テーブル1[[#This Row],[列12]]/テーブル1[[#This Row],[列8]]*100</f>
        <v>-2.2689540675152187</v>
      </c>
      <c r="Q28" s="56">
        <f>テーブル1[[#This Row],[列13]]/テーブル1[[#This Row],[列9]]*100</f>
        <v>-8.7108013937282234</v>
      </c>
      <c r="R28" s="52">
        <f>テーブル1[[#This Row],[列7]]/テーブル1[[#This Row],[列6]]</f>
        <v>3.0158139534883719</v>
      </c>
      <c r="T28" s="54">
        <f t="shared" ca="1" si="3"/>
        <v>1075.0097041648057</v>
      </c>
      <c r="U28" s="24" t="str">
        <f t="shared" si="2"/>
        <v>村</v>
      </c>
    </row>
    <row r="29" spans="1:21" ht="17.25" customHeight="1" x14ac:dyDescent="0.4">
      <c r="A29" s="17" t="s">
        <v>6</v>
      </c>
      <c r="B29" s="18">
        <v>428</v>
      </c>
      <c r="C29" s="18">
        <v>1005</v>
      </c>
      <c r="D29" s="18">
        <v>477</v>
      </c>
      <c r="E29" s="18">
        <v>528</v>
      </c>
      <c r="F29" s="25">
        <v>406</v>
      </c>
      <c r="G29" s="25">
        <v>962</v>
      </c>
      <c r="H29" s="25">
        <v>473</v>
      </c>
      <c r="I29" s="25">
        <v>489</v>
      </c>
      <c r="J29" s="20">
        <f>テーブル1[[#This Row],[列6]]-テーブル1[[#This Row],[列2]]</f>
        <v>-22</v>
      </c>
      <c r="K29" s="20">
        <f>テーブル1[[#This Row],[列7]]-テーブル1[[#This Row],[列3]]</f>
        <v>-43</v>
      </c>
      <c r="L29" s="20">
        <f>テーブル1[[#This Row],[列8]]-テーブル1[[#This Row],[列4]]</f>
        <v>-4</v>
      </c>
      <c r="M29" s="20">
        <f>テーブル1[[#This Row],[列9]]-テーブル1[[#This Row],[列5]]</f>
        <v>-39</v>
      </c>
      <c r="N29" s="56">
        <f>テーブル1[[#This Row],[列10]]/テーブル1[[#This Row],[列6]]*100</f>
        <v>-5.4187192118226601</v>
      </c>
      <c r="O29" s="56">
        <f>テーブル1[[#This Row],[列11]]/テーブル1[[#This Row],[列7]]*100</f>
        <v>-4.4698544698544698</v>
      </c>
      <c r="P29" s="56">
        <f>テーブル1[[#This Row],[列12]]/テーブル1[[#This Row],[列8]]*100</f>
        <v>-0.84566596194503174</v>
      </c>
      <c r="Q29" s="56">
        <f>テーブル1[[#This Row],[列13]]/テーブル1[[#This Row],[列9]]*100</f>
        <v>-7.9754601226993866</v>
      </c>
      <c r="R29" s="52">
        <f>テーブル1[[#This Row],[列7]]/テーブル1[[#This Row],[列6]]</f>
        <v>2.3694581280788176</v>
      </c>
      <c r="T29" s="54">
        <f t="shared" ca="1" si="3"/>
        <v>406.00308656126583</v>
      </c>
      <c r="U29" s="24" t="str">
        <f t="shared" si="2"/>
        <v>村</v>
      </c>
    </row>
    <row r="30" spans="1:21" ht="17.25" customHeight="1" x14ac:dyDescent="0.4">
      <c r="A30" s="17" t="s">
        <v>7</v>
      </c>
      <c r="B30" s="18">
        <v>333</v>
      </c>
      <c r="C30" s="18">
        <v>774</v>
      </c>
      <c r="D30" s="18">
        <v>381</v>
      </c>
      <c r="E30" s="18">
        <v>393</v>
      </c>
      <c r="F30" s="25">
        <v>342</v>
      </c>
      <c r="G30" s="25">
        <v>752</v>
      </c>
      <c r="H30" s="25">
        <v>378</v>
      </c>
      <c r="I30" s="25">
        <v>374</v>
      </c>
      <c r="J30" s="20">
        <f>テーブル1[[#This Row],[列6]]-テーブル1[[#This Row],[列2]]</f>
        <v>9</v>
      </c>
      <c r="K30" s="20">
        <f>テーブル1[[#This Row],[列7]]-テーブル1[[#This Row],[列3]]</f>
        <v>-22</v>
      </c>
      <c r="L30" s="20">
        <f>テーブル1[[#This Row],[列8]]-テーブル1[[#This Row],[列4]]</f>
        <v>-3</v>
      </c>
      <c r="M30" s="20">
        <f>テーブル1[[#This Row],[列9]]-テーブル1[[#This Row],[列5]]</f>
        <v>-19</v>
      </c>
      <c r="N30" s="56">
        <f>テーブル1[[#This Row],[列10]]/テーブル1[[#This Row],[列6]]*100</f>
        <v>2.6315789473684208</v>
      </c>
      <c r="O30" s="56">
        <f>テーブル1[[#This Row],[列11]]/テーブル1[[#This Row],[列7]]*100</f>
        <v>-2.9255319148936172</v>
      </c>
      <c r="P30" s="56">
        <f>テーブル1[[#This Row],[列12]]/テーブル1[[#This Row],[列8]]*100</f>
        <v>-0.79365079365079361</v>
      </c>
      <c r="Q30" s="56">
        <f>テーブル1[[#This Row],[列13]]/テーブル1[[#This Row],[列9]]*100</f>
        <v>-5.0802139037433154</v>
      </c>
      <c r="R30" s="52">
        <f>テーブル1[[#This Row],[列7]]/テーブル1[[#This Row],[列6]]</f>
        <v>2.198830409356725</v>
      </c>
      <c r="T30" s="54">
        <f t="shared" ca="1" si="3"/>
        <v>342.00007270209676</v>
      </c>
      <c r="U30" s="24" t="str">
        <f t="shared" si="2"/>
        <v>村</v>
      </c>
    </row>
    <row r="31" spans="1:21" ht="17.25" customHeight="1" x14ac:dyDescent="0.4">
      <c r="A31" s="17" t="s">
        <v>8</v>
      </c>
      <c r="B31" s="18">
        <v>4014</v>
      </c>
      <c r="C31" s="18">
        <v>11186</v>
      </c>
      <c r="D31" s="18">
        <v>5392</v>
      </c>
      <c r="E31" s="18">
        <v>5794</v>
      </c>
      <c r="F31" s="25">
        <v>3922</v>
      </c>
      <c r="G31" s="25">
        <v>10218</v>
      </c>
      <c r="H31" s="25">
        <v>4966</v>
      </c>
      <c r="I31" s="25">
        <v>5252</v>
      </c>
      <c r="J31" s="20">
        <f>テーブル1[[#This Row],[列6]]-テーブル1[[#This Row],[列2]]</f>
        <v>-92</v>
      </c>
      <c r="K31" s="20">
        <f>テーブル1[[#This Row],[列7]]-テーブル1[[#This Row],[列3]]</f>
        <v>-968</v>
      </c>
      <c r="L31" s="20">
        <f>テーブル1[[#This Row],[列8]]-テーブル1[[#This Row],[列4]]</f>
        <v>-426</v>
      </c>
      <c r="M31" s="20">
        <f>テーブル1[[#This Row],[列9]]-テーブル1[[#This Row],[列5]]</f>
        <v>-542</v>
      </c>
      <c r="N31" s="56">
        <f>テーブル1[[#This Row],[列10]]/テーブル1[[#This Row],[列6]]*100</f>
        <v>-2.3457419683834777</v>
      </c>
      <c r="O31" s="56">
        <f>テーブル1[[#This Row],[列11]]/テーブル1[[#This Row],[列7]]*100</f>
        <v>-9.4734781757682516</v>
      </c>
      <c r="P31" s="56">
        <f>テーブル1[[#This Row],[列12]]/テーブル1[[#This Row],[列8]]*100</f>
        <v>-8.5783326621022962</v>
      </c>
      <c r="Q31" s="56">
        <f>テーブル1[[#This Row],[列13]]/テーブル1[[#This Row],[列9]]*100</f>
        <v>-10.31987814166032</v>
      </c>
      <c r="R31" s="52">
        <f>テーブル1[[#This Row],[列7]]/テーブル1[[#This Row],[列6]]</f>
        <v>2.6053034166241713</v>
      </c>
      <c r="T31" s="54">
        <f t="shared" ca="1" si="3"/>
        <v>3922.0310141469076</v>
      </c>
      <c r="U31" s="24" t="str">
        <f t="shared" si="2"/>
        <v>町</v>
      </c>
    </row>
    <row r="32" spans="1:21" ht="17.25" customHeight="1" x14ac:dyDescent="0.4">
      <c r="A32" s="17" t="s">
        <v>9</v>
      </c>
      <c r="B32" s="18">
        <v>8247</v>
      </c>
      <c r="C32" s="18">
        <v>18994</v>
      </c>
      <c r="D32" s="18">
        <v>9107</v>
      </c>
      <c r="E32" s="18">
        <v>9887</v>
      </c>
      <c r="F32" s="25">
        <v>8586</v>
      </c>
      <c r="G32" s="25">
        <v>19188</v>
      </c>
      <c r="H32" s="25">
        <v>9178</v>
      </c>
      <c r="I32" s="25">
        <v>10010</v>
      </c>
      <c r="J32" s="20">
        <f>テーブル1[[#This Row],[列6]]-テーブル1[[#This Row],[列2]]</f>
        <v>339</v>
      </c>
      <c r="K32" s="20">
        <f>テーブル1[[#This Row],[列7]]-テーブル1[[#This Row],[列3]]</f>
        <v>194</v>
      </c>
      <c r="L32" s="20">
        <f>テーブル1[[#This Row],[列8]]-テーブル1[[#This Row],[列4]]</f>
        <v>71</v>
      </c>
      <c r="M32" s="20">
        <f>テーブル1[[#This Row],[列9]]-テーブル1[[#This Row],[列5]]</f>
        <v>123</v>
      </c>
      <c r="N32" s="56">
        <f>テーブル1[[#This Row],[列10]]/テーブル1[[#This Row],[列6]]*100</f>
        <v>3.948287910552061</v>
      </c>
      <c r="O32" s="56">
        <f>テーブル1[[#This Row],[列11]]/テーブル1[[#This Row],[列7]]*100</f>
        <v>1.0110485720241817</v>
      </c>
      <c r="P32" s="56">
        <f>テーブル1[[#This Row],[列12]]/テーブル1[[#This Row],[列8]]*100</f>
        <v>0.77358901721507944</v>
      </c>
      <c r="Q32" s="56">
        <f>テーブル1[[#This Row],[列13]]/テーブル1[[#This Row],[列9]]*100</f>
        <v>1.2287712287712287</v>
      </c>
      <c r="R32" s="52">
        <f>テーブル1[[#This Row],[列7]]/テーブル1[[#This Row],[列6]]</f>
        <v>2.2348008385744236</v>
      </c>
      <c r="T32" s="54">
        <f t="shared" ca="1" si="3"/>
        <v>8586.0664101924485</v>
      </c>
      <c r="U32" s="24" t="str">
        <f t="shared" si="2"/>
        <v>町</v>
      </c>
    </row>
    <row r="33" spans="1:21" ht="17.25" customHeight="1" x14ac:dyDescent="0.4">
      <c r="A33" s="17" t="s">
        <v>10</v>
      </c>
      <c r="B33" s="18">
        <v>6118</v>
      </c>
      <c r="C33" s="18">
        <v>15184</v>
      </c>
      <c r="D33" s="18">
        <v>7561</v>
      </c>
      <c r="E33" s="18">
        <v>7623</v>
      </c>
      <c r="F33" s="25">
        <v>6711</v>
      </c>
      <c r="G33" s="25">
        <v>15555</v>
      </c>
      <c r="H33" s="25">
        <v>7703</v>
      </c>
      <c r="I33" s="25">
        <v>7852</v>
      </c>
      <c r="J33" s="20">
        <f>テーブル1[[#This Row],[列6]]-テーブル1[[#This Row],[列2]]</f>
        <v>593</v>
      </c>
      <c r="K33" s="20">
        <f>テーブル1[[#This Row],[列7]]-テーブル1[[#This Row],[列3]]</f>
        <v>371</v>
      </c>
      <c r="L33" s="20">
        <f>テーブル1[[#This Row],[列8]]-テーブル1[[#This Row],[列4]]</f>
        <v>142</v>
      </c>
      <c r="M33" s="20">
        <f>テーブル1[[#This Row],[列9]]-テーブル1[[#This Row],[列5]]</f>
        <v>229</v>
      </c>
      <c r="N33" s="56">
        <f>テーブル1[[#This Row],[列10]]/テーブル1[[#This Row],[列6]]*100</f>
        <v>8.8362390105796447</v>
      </c>
      <c r="O33" s="56">
        <f>テーブル1[[#This Row],[列11]]/テーブル1[[#This Row],[列7]]*100</f>
        <v>2.3850851816136291</v>
      </c>
      <c r="P33" s="56">
        <f>テーブル1[[#This Row],[列12]]/テーブル1[[#This Row],[列8]]*100</f>
        <v>1.843437621705829</v>
      </c>
      <c r="Q33" s="56">
        <f>テーブル1[[#This Row],[列13]]/テーブル1[[#This Row],[列9]]*100</f>
        <v>2.9164544065206317</v>
      </c>
      <c r="R33" s="52">
        <f>テーブル1[[#This Row],[列7]]/テーブル1[[#This Row],[列6]]</f>
        <v>2.3178363880196691</v>
      </c>
      <c r="T33" s="54">
        <f t="shared" ca="1" si="3"/>
        <v>6711.0349832819884</v>
      </c>
      <c r="U33" s="24" t="str">
        <f t="shared" si="2"/>
        <v>町</v>
      </c>
    </row>
    <row r="34" spans="1:21" ht="17.25" customHeight="1" x14ac:dyDescent="0.4">
      <c r="A34" s="17" t="s">
        <v>36</v>
      </c>
      <c r="B34" s="18">
        <v>2682</v>
      </c>
      <c r="C34" s="18">
        <v>7265</v>
      </c>
      <c r="D34" s="18">
        <v>3583</v>
      </c>
      <c r="E34" s="18">
        <v>3682</v>
      </c>
      <c r="F34" s="25">
        <v>2606</v>
      </c>
      <c r="G34" s="25">
        <v>6612</v>
      </c>
      <c r="H34" s="25">
        <v>3328</v>
      </c>
      <c r="I34" s="25">
        <v>3284</v>
      </c>
      <c r="J34" s="20">
        <f>テーブル1[[#This Row],[列6]]-テーブル1[[#This Row],[列2]]</f>
        <v>-76</v>
      </c>
      <c r="K34" s="20">
        <f>テーブル1[[#This Row],[列7]]-テーブル1[[#This Row],[列3]]</f>
        <v>-653</v>
      </c>
      <c r="L34" s="20">
        <f>テーブル1[[#This Row],[列8]]-テーブル1[[#This Row],[列4]]</f>
        <v>-255</v>
      </c>
      <c r="M34" s="20">
        <f>テーブル1[[#This Row],[列9]]-テーブル1[[#This Row],[列5]]</f>
        <v>-398</v>
      </c>
      <c r="N34" s="56">
        <f>テーブル1[[#This Row],[列10]]/テーブル1[[#This Row],[列6]]*100</f>
        <v>-2.916346891788181</v>
      </c>
      <c r="O34" s="56">
        <f>テーブル1[[#This Row],[列11]]/テーブル1[[#This Row],[列7]]*100</f>
        <v>-9.8759830611010297</v>
      </c>
      <c r="P34" s="56">
        <f>テーブル1[[#This Row],[列12]]/テーブル1[[#This Row],[列8]]*100</f>
        <v>-7.6622596153846159</v>
      </c>
      <c r="Q34" s="56">
        <f>テーブル1[[#This Row],[列13]]/テーブル1[[#This Row],[列9]]*100</f>
        <v>-12.119366626065773</v>
      </c>
      <c r="R34" s="52">
        <f>テーブル1[[#This Row],[列7]]/テーブル1[[#This Row],[列6]]</f>
        <v>2.5372217958557175</v>
      </c>
      <c r="T34" s="54">
        <f t="shared" ca="1" si="3"/>
        <v>2606.0068409032701</v>
      </c>
      <c r="U34" s="24" t="str">
        <f t="shared" si="2"/>
        <v>町</v>
      </c>
    </row>
    <row r="35" spans="1:21" ht="17.25" customHeight="1" x14ac:dyDescent="0.4">
      <c r="A35" s="17" t="s">
        <v>37</v>
      </c>
      <c r="B35" s="18">
        <v>1556</v>
      </c>
      <c r="C35" s="18">
        <v>4343</v>
      </c>
      <c r="D35" s="18">
        <v>2084</v>
      </c>
      <c r="E35" s="18">
        <v>2259</v>
      </c>
      <c r="F35" s="25">
        <v>1553</v>
      </c>
      <c r="G35" s="25">
        <v>4121</v>
      </c>
      <c r="H35" s="25">
        <v>1976</v>
      </c>
      <c r="I35" s="25">
        <v>2145</v>
      </c>
      <c r="J35" s="20">
        <f>テーブル1[[#This Row],[列6]]-テーブル1[[#This Row],[列2]]</f>
        <v>-3</v>
      </c>
      <c r="K35" s="20">
        <f>テーブル1[[#This Row],[列7]]-テーブル1[[#This Row],[列3]]</f>
        <v>-222</v>
      </c>
      <c r="L35" s="20">
        <f>テーブル1[[#This Row],[列8]]-テーブル1[[#This Row],[列4]]</f>
        <v>-108</v>
      </c>
      <c r="M35" s="20">
        <f>テーブル1[[#This Row],[列9]]-テーブル1[[#This Row],[列5]]</f>
        <v>-114</v>
      </c>
      <c r="N35" s="56">
        <f>テーブル1[[#This Row],[列10]]/テーブル1[[#This Row],[列6]]*100</f>
        <v>-0.19317450096587252</v>
      </c>
      <c r="O35" s="56">
        <f>テーブル1[[#This Row],[列11]]/テーブル1[[#This Row],[列7]]*100</f>
        <v>-5.3870419801019169</v>
      </c>
      <c r="P35" s="56">
        <f>テーブル1[[#This Row],[列12]]/テーブル1[[#This Row],[列8]]*100</f>
        <v>-5.4655870445344128</v>
      </c>
      <c r="Q35" s="56">
        <f>テーブル1[[#This Row],[列13]]/テーブル1[[#This Row],[列9]]*100</f>
        <v>-5.314685314685315</v>
      </c>
      <c r="R35" s="52">
        <f>テーブル1[[#This Row],[列7]]/テーブル1[[#This Row],[列6]]</f>
        <v>2.6535737282678689</v>
      </c>
      <c r="T35" s="54">
        <f t="shared" ca="1" si="3"/>
        <v>1553.0092050580452</v>
      </c>
      <c r="U35" s="24" t="str">
        <f t="shared" si="2"/>
        <v>村</v>
      </c>
    </row>
    <row r="36" spans="1:21" ht="17.25" customHeight="1" x14ac:dyDescent="0.4">
      <c r="A36" s="17" t="s">
        <v>38</v>
      </c>
      <c r="B36" s="18">
        <v>2416</v>
      </c>
      <c r="C36" s="18">
        <v>6166</v>
      </c>
      <c r="D36" s="18">
        <v>3029</v>
      </c>
      <c r="E36" s="18">
        <v>3137</v>
      </c>
      <c r="F36" s="25">
        <v>2318</v>
      </c>
      <c r="G36" s="25">
        <v>5600</v>
      </c>
      <c r="H36" s="25">
        <v>2774</v>
      </c>
      <c r="I36" s="25">
        <v>2826</v>
      </c>
      <c r="J36" s="20">
        <f>テーブル1[[#This Row],[列6]]-テーブル1[[#This Row],[列2]]</f>
        <v>-98</v>
      </c>
      <c r="K36" s="20">
        <f>テーブル1[[#This Row],[列7]]-テーブル1[[#This Row],[列3]]</f>
        <v>-566</v>
      </c>
      <c r="L36" s="20">
        <f>テーブル1[[#This Row],[列8]]-テーブル1[[#This Row],[列4]]</f>
        <v>-255</v>
      </c>
      <c r="M36" s="20">
        <f>テーブル1[[#This Row],[列9]]-テーブル1[[#This Row],[列5]]</f>
        <v>-311</v>
      </c>
      <c r="N36" s="56">
        <f>テーブル1[[#This Row],[列10]]/テーブル1[[#This Row],[列6]]*100</f>
        <v>-4.227782571182054</v>
      </c>
      <c r="O36" s="56">
        <f>テーブル1[[#This Row],[列11]]/テーブル1[[#This Row],[列7]]*100</f>
        <v>-10.107142857142858</v>
      </c>
      <c r="P36" s="56">
        <f>テーブル1[[#This Row],[列12]]/テーブル1[[#This Row],[列8]]*100</f>
        <v>-9.1925018024513339</v>
      </c>
      <c r="Q36" s="56">
        <f>テーブル1[[#This Row],[列13]]/テーブル1[[#This Row],[列9]]*100</f>
        <v>-11.004953998584572</v>
      </c>
      <c r="R36" s="52">
        <f>テーブル1[[#This Row],[列7]]/テーブル1[[#This Row],[列6]]</f>
        <v>2.4158757549611733</v>
      </c>
      <c r="T36" s="54">
        <f t="shared" ca="1" si="3"/>
        <v>2318.0152651545759</v>
      </c>
      <c r="U36" s="24" t="str">
        <f t="shared" si="2"/>
        <v>町</v>
      </c>
    </row>
    <row r="37" spans="1:21" ht="17.25" customHeight="1" x14ac:dyDescent="0.4">
      <c r="A37" s="17" t="s">
        <v>11</v>
      </c>
      <c r="B37" s="18">
        <v>7946</v>
      </c>
      <c r="C37" s="18">
        <v>20236</v>
      </c>
      <c r="D37" s="18">
        <v>9749</v>
      </c>
      <c r="E37" s="18">
        <v>10487</v>
      </c>
      <c r="F37" s="25">
        <v>7847</v>
      </c>
      <c r="G37" s="25">
        <v>19155</v>
      </c>
      <c r="H37" s="25">
        <v>9238</v>
      </c>
      <c r="I37" s="25">
        <v>9917</v>
      </c>
      <c r="J37" s="20">
        <f>テーブル1[[#This Row],[列6]]-テーブル1[[#This Row],[列2]]</f>
        <v>-99</v>
      </c>
      <c r="K37" s="20">
        <f>テーブル1[[#This Row],[列7]]-テーブル1[[#This Row],[列3]]</f>
        <v>-1081</v>
      </c>
      <c r="L37" s="20">
        <f>テーブル1[[#This Row],[列8]]-テーブル1[[#This Row],[列4]]</f>
        <v>-511</v>
      </c>
      <c r="M37" s="20">
        <f>テーブル1[[#This Row],[列9]]-テーブル1[[#This Row],[列5]]</f>
        <v>-570</v>
      </c>
      <c r="N37" s="56">
        <f>テーブル1[[#This Row],[列10]]/テーブル1[[#This Row],[列6]]*100</f>
        <v>-1.2616286478909138</v>
      </c>
      <c r="O37" s="56">
        <f>テーブル1[[#This Row],[列11]]/テーブル1[[#This Row],[列7]]*100</f>
        <v>-5.6434351344296534</v>
      </c>
      <c r="P37" s="56">
        <f>テーブル1[[#This Row],[列12]]/テーブル1[[#This Row],[列8]]*100</f>
        <v>-5.5315003247456165</v>
      </c>
      <c r="Q37" s="56">
        <f>テーブル1[[#This Row],[列13]]/テーブル1[[#This Row],[列9]]*100</f>
        <v>-5.7477059594635476</v>
      </c>
      <c r="R37" s="52">
        <f>テーブル1[[#This Row],[列7]]/テーブル1[[#This Row],[列6]]</f>
        <v>2.4410602778131771</v>
      </c>
      <c r="T37" s="54">
        <f t="shared" ca="1" si="3"/>
        <v>7847.0523424030716</v>
      </c>
      <c r="U37" s="24" t="str">
        <f t="shared" si="2"/>
        <v>町</v>
      </c>
    </row>
    <row r="38" spans="1:21" ht="17.25" customHeight="1" x14ac:dyDescent="0.4">
      <c r="A38" s="17" t="s">
        <v>12</v>
      </c>
      <c r="B38" s="18">
        <v>5396</v>
      </c>
      <c r="C38" s="18">
        <v>14493</v>
      </c>
      <c r="D38" s="18">
        <v>7039</v>
      </c>
      <c r="E38" s="18">
        <v>7454</v>
      </c>
      <c r="F38" s="25">
        <v>5610</v>
      </c>
      <c r="G38" s="25">
        <v>14084</v>
      </c>
      <c r="H38" s="25">
        <v>6839</v>
      </c>
      <c r="I38" s="25">
        <v>7245</v>
      </c>
      <c r="J38" s="20">
        <f>テーブル1[[#This Row],[列6]]-テーブル1[[#This Row],[列2]]</f>
        <v>214</v>
      </c>
      <c r="K38" s="20">
        <f>テーブル1[[#This Row],[列7]]-テーブル1[[#This Row],[列3]]</f>
        <v>-409</v>
      </c>
      <c r="L38" s="20">
        <f>テーブル1[[#This Row],[列8]]-テーブル1[[#This Row],[列4]]</f>
        <v>-200</v>
      </c>
      <c r="M38" s="20">
        <f>テーブル1[[#This Row],[列9]]-テーブル1[[#This Row],[列5]]</f>
        <v>-209</v>
      </c>
      <c r="N38" s="56">
        <f>テーブル1[[#This Row],[列10]]/テーブル1[[#This Row],[列6]]*100</f>
        <v>3.8146167557932262</v>
      </c>
      <c r="O38" s="56">
        <f>テーブル1[[#This Row],[列11]]/テーブル1[[#This Row],[列7]]*100</f>
        <v>-2.9040045441635898</v>
      </c>
      <c r="P38" s="56">
        <f>テーブル1[[#This Row],[列12]]/テーブル1[[#This Row],[列8]]*100</f>
        <v>-2.9244041526538966</v>
      </c>
      <c r="Q38" s="56">
        <f>テーブル1[[#This Row],[列13]]/テーブル1[[#This Row],[列9]]*100</f>
        <v>-2.8847481021394064</v>
      </c>
      <c r="R38" s="52">
        <f>テーブル1[[#This Row],[列7]]/テーブル1[[#This Row],[列6]]</f>
        <v>2.510516934046346</v>
      </c>
      <c r="T38" s="54">
        <f t="shared" ca="1" si="3"/>
        <v>5610.0328321923407</v>
      </c>
      <c r="U38" s="24" t="str">
        <f t="shared" ref="U38:U71" si="4">RIGHT(A38)</f>
        <v>町</v>
      </c>
    </row>
    <row r="39" spans="1:21" ht="17.25" customHeight="1" x14ac:dyDescent="0.4">
      <c r="A39" s="17" t="s">
        <v>82</v>
      </c>
      <c r="B39" s="18">
        <v>2673</v>
      </c>
      <c r="C39" s="18">
        <v>7566</v>
      </c>
      <c r="D39" s="18">
        <v>3717</v>
      </c>
      <c r="E39" s="18">
        <v>3849</v>
      </c>
      <c r="F39" s="25">
        <v>2895</v>
      </c>
      <c r="G39" s="25">
        <v>7680</v>
      </c>
      <c r="H39" s="25">
        <v>3771</v>
      </c>
      <c r="I39" s="25">
        <v>3909</v>
      </c>
      <c r="J39" s="20">
        <f>テーブル1[[#This Row],[列6]]-テーブル1[[#This Row],[列2]]</f>
        <v>222</v>
      </c>
      <c r="K39" s="20">
        <f>テーブル1[[#This Row],[列7]]-テーブル1[[#This Row],[列3]]</f>
        <v>114</v>
      </c>
      <c r="L39" s="20">
        <f>テーブル1[[#This Row],[列8]]-テーブル1[[#This Row],[列4]]</f>
        <v>54</v>
      </c>
      <c r="M39" s="20">
        <f>テーブル1[[#This Row],[列9]]-テーブル1[[#This Row],[列5]]</f>
        <v>60</v>
      </c>
      <c r="N39" s="56">
        <f>テーブル1[[#This Row],[列10]]/テーブル1[[#This Row],[列6]]*100</f>
        <v>7.6683937823834203</v>
      </c>
      <c r="O39" s="56">
        <f>テーブル1[[#This Row],[列11]]/テーブル1[[#This Row],[列7]]*100</f>
        <v>1.484375</v>
      </c>
      <c r="P39" s="56">
        <f>テーブル1[[#This Row],[列12]]/テーブル1[[#This Row],[列8]]*100</f>
        <v>1.431980906921241</v>
      </c>
      <c r="Q39" s="56">
        <f>テーブル1[[#This Row],[列13]]/テーブル1[[#This Row],[列9]]*100</f>
        <v>1.5349194167306215</v>
      </c>
      <c r="R39" s="52">
        <f>テーブル1[[#This Row],[列7]]/テーブル1[[#This Row],[列6]]</f>
        <v>2.6528497409326426</v>
      </c>
      <c r="T39" s="54">
        <f t="shared" ca="1" si="3"/>
        <v>2895.004339616105</v>
      </c>
      <c r="U39" s="24" t="str">
        <f t="shared" si="4"/>
        <v>村</v>
      </c>
    </row>
    <row r="40" spans="1:21" ht="17.25" customHeight="1" x14ac:dyDescent="0.4">
      <c r="A40" s="17" t="s">
        <v>39</v>
      </c>
      <c r="B40" s="18">
        <v>7343</v>
      </c>
      <c r="C40" s="18">
        <v>19770</v>
      </c>
      <c r="D40" s="18">
        <v>9657</v>
      </c>
      <c r="E40" s="18">
        <v>10113</v>
      </c>
      <c r="F40" s="25">
        <v>7258</v>
      </c>
      <c r="G40" s="25">
        <v>18555</v>
      </c>
      <c r="H40" s="25">
        <v>9016</v>
      </c>
      <c r="I40" s="25">
        <v>9539</v>
      </c>
      <c r="J40" s="20">
        <f>テーブル1[[#This Row],[列6]]-テーブル1[[#This Row],[列2]]</f>
        <v>-85</v>
      </c>
      <c r="K40" s="20">
        <f>テーブル1[[#This Row],[列7]]-テーブル1[[#This Row],[列3]]</f>
        <v>-1215</v>
      </c>
      <c r="L40" s="20">
        <f>テーブル1[[#This Row],[列8]]-テーブル1[[#This Row],[列4]]</f>
        <v>-641</v>
      </c>
      <c r="M40" s="20">
        <f>テーブル1[[#This Row],[列9]]-テーブル1[[#This Row],[列5]]</f>
        <v>-574</v>
      </c>
      <c r="N40" s="56">
        <f>テーブル1[[#This Row],[列10]]/テーブル1[[#This Row],[列6]]*100</f>
        <v>-1.1711215210801873</v>
      </c>
      <c r="O40" s="56">
        <f>テーブル1[[#This Row],[列11]]/テーブル1[[#This Row],[列7]]*100</f>
        <v>-6.5481002425222314</v>
      </c>
      <c r="P40" s="56">
        <f>テーブル1[[#This Row],[列12]]/テーブル1[[#This Row],[列8]]*100</f>
        <v>-7.1095829636202312</v>
      </c>
      <c r="Q40" s="56">
        <f>テーブル1[[#This Row],[列13]]/テーブル1[[#This Row],[列9]]*100</f>
        <v>-6.0174022434217429</v>
      </c>
      <c r="R40" s="52">
        <f>テーブル1[[#This Row],[列7]]/テーブル1[[#This Row],[列6]]</f>
        <v>2.5564893910168092</v>
      </c>
      <c r="T40" s="54">
        <f t="shared" ca="1" si="3"/>
        <v>7258.070922758915</v>
      </c>
      <c r="U40" s="24" t="str">
        <f t="shared" si="4"/>
        <v>町</v>
      </c>
    </row>
    <row r="41" spans="1:21" ht="17.25" customHeight="1" x14ac:dyDescent="0.4">
      <c r="A41" s="17" t="s">
        <v>77</v>
      </c>
      <c r="B41" s="18">
        <v>9240</v>
      </c>
      <c r="C41" s="18">
        <v>25241</v>
      </c>
      <c r="D41" s="18">
        <v>12681</v>
      </c>
      <c r="E41" s="18">
        <v>12560</v>
      </c>
      <c r="F41" s="25">
        <v>9504</v>
      </c>
      <c r="G41" s="25">
        <v>24989</v>
      </c>
      <c r="H41" s="25">
        <v>12511</v>
      </c>
      <c r="I41" s="25">
        <v>12478</v>
      </c>
      <c r="J41" s="20">
        <f>テーブル1[[#This Row],[列6]]-テーブル1[[#This Row],[列2]]</f>
        <v>264</v>
      </c>
      <c r="K41" s="20">
        <f>テーブル1[[#This Row],[列7]]-テーブル1[[#This Row],[列3]]</f>
        <v>-252</v>
      </c>
      <c r="L41" s="20">
        <f>テーブル1[[#This Row],[列8]]-テーブル1[[#This Row],[列4]]</f>
        <v>-170</v>
      </c>
      <c r="M41" s="20">
        <f>テーブル1[[#This Row],[列9]]-テーブル1[[#This Row],[列5]]</f>
        <v>-82</v>
      </c>
      <c r="N41" s="56">
        <f>テーブル1[[#This Row],[列10]]/テーブル1[[#This Row],[列6]]*100</f>
        <v>2.7777777777777777</v>
      </c>
      <c r="O41" s="56">
        <f>テーブル1[[#This Row],[列11]]/テーブル1[[#This Row],[列7]]*100</f>
        <v>-1.0084437152347032</v>
      </c>
      <c r="P41" s="56">
        <f>テーブル1[[#This Row],[列12]]/テーブル1[[#This Row],[列8]]*100</f>
        <v>-1.358804252258013</v>
      </c>
      <c r="Q41" s="56">
        <f>テーブル1[[#This Row],[列13]]/テーブル1[[#This Row],[列9]]*100</f>
        <v>-0.65715659560827056</v>
      </c>
      <c r="R41" s="52">
        <f>テーブル1[[#This Row],[列7]]/テーブル1[[#This Row],[列6]]</f>
        <v>2.6293139730639732</v>
      </c>
      <c r="T41" s="54">
        <f t="shared" ca="1" si="3"/>
        <v>9504.0358385848976</v>
      </c>
      <c r="U41" s="24" t="str">
        <f t="shared" si="4"/>
        <v>町</v>
      </c>
    </row>
    <row r="42" spans="1:21" ht="17.25" customHeight="1" x14ac:dyDescent="0.4">
      <c r="A42" s="17" t="s">
        <v>40</v>
      </c>
      <c r="B42" s="18">
        <v>3325</v>
      </c>
      <c r="C42" s="18">
        <v>9530</v>
      </c>
      <c r="D42" s="18">
        <v>4605</v>
      </c>
      <c r="E42" s="18">
        <v>4925</v>
      </c>
      <c r="F42" s="25">
        <v>3391</v>
      </c>
      <c r="G42" s="25">
        <v>9004</v>
      </c>
      <c r="H42" s="25">
        <v>4392</v>
      </c>
      <c r="I42" s="25">
        <v>4612</v>
      </c>
      <c r="J42" s="20">
        <f>テーブル1[[#This Row],[列6]]-テーブル1[[#This Row],[列2]]</f>
        <v>66</v>
      </c>
      <c r="K42" s="20">
        <f>テーブル1[[#This Row],[列7]]-テーブル1[[#This Row],[列3]]</f>
        <v>-526</v>
      </c>
      <c r="L42" s="20">
        <f>テーブル1[[#This Row],[列8]]-テーブル1[[#This Row],[列4]]</f>
        <v>-213</v>
      </c>
      <c r="M42" s="20">
        <f>テーブル1[[#This Row],[列9]]-テーブル1[[#This Row],[列5]]</f>
        <v>-313</v>
      </c>
      <c r="N42" s="56">
        <f>テーブル1[[#This Row],[列10]]/テーブル1[[#This Row],[列6]]*100</f>
        <v>1.9463285166617514</v>
      </c>
      <c r="O42" s="56">
        <f>テーブル1[[#This Row],[列11]]/テーブル1[[#This Row],[列7]]*100</f>
        <v>-5.841848067525544</v>
      </c>
      <c r="P42" s="56">
        <f>テーブル1[[#This Row],[列12]]/テーブル1[[#This Row],[列8]]*100</f>
        <v>-4.8497267759562837</v>
      </c>
      <c r="Q42" s="56">
        <f>テーブル1[[#This Row],[列13]]/テーブル1[[#This Row],[列9]]*100</f>
        <v>-6.7866435385949693</v>
      </c>
      <c r="R42" s="52">
        <f>テーブル1[[#This Row],[列7]]/テーブル1[[#This Row],[列6]]</f>
        <v>2.6552639339427899</v>
      </c>
      <c r="T42" s="54">
        <f t="shared" ca="1" si="3"/>
        <v>3391.0270874117355</v>
      </c>
      <c r="U42" s="24" t="str">
        <f t="shared" si="4"/>
        <v>町</v>
      </c>
    </row>
    <row r="43" spans="1:21" ht="17.25" customHeight="1" x14ac:dyDescent="0.4">
      <c r="A43" s="17" t="s">
        <v>13</v>
      </c>
      <c r="B43" s="18">
        <v>5839</v>
      </c>
      <c r="C43" s="18">
        <v>15063</v>
      </c>
      <c r="D43" s="18">
        <v>7498</v>
      </c>
      <c r="E43" s="18">
        <v>7565</v>
      </c>
      <c r="F43" s="25">
        <v>6445</v>
      </c>
      <c r="G43" s="25">
        <v>15797</v>
      </c>
      <c r="H43" s="25">
        <v>7851</v>
      </c>
      <c r="I43" s="25">
        <v>7946</v>
      </c>
      <c r="J43" s="20">
        <f>テーブル1[[#This Row],[列6]]-テーブル1[[#This Row],[列2]]</f>
        <v>606</v>
      </c>
      <c r="K43" s="20">
        <f>テーブル1[[#This Row],[列7]]-テーブル1[[#This Row],[列3]]</f>
        <v>734</v>
      </c>
      <c r="L43" s="20">
        <f>テーブル1[[#This Row],[列8]]-テーブル1[[#This Row],[列4]]</f>
        <v>353</v>
      </c>
      <c r="M43" s="20">
        <f>テーブル1[[#This Row],[列9]]-テーブル1[[#This Row],[列5]]</f>
        <v>381</v>
      </c>
      <c r="N43" s="56">
        <f>テーブル1[[#This Row],[列10]]/テーブル1[[#This Row],[列6]]*100</f>
        <v>9.4026377036462367</v>
      </c>
      <c r="O43" s="56">
        <f>テーブル1[[#This Row],[列11]]/テーブル1[[#This Row],[列7]]*100</f>
        <v>4.6464518579477119</v>
      </c>
      <c r="P43" s="56">
        <f>テーブル1[[#This Row],[列12]]/テーブル1[[#This Row],[列8]]*100</f>
        <v>4.4962425168768316</v>
      </c>
      <c r="Q43" s="56">
        <f>テーブル1[[#This Row],[列13]]/テーブル1[[#This Row],[列9]]*100</f>
        <v>4.7948653410521018</v>
      </c>
      <c r="R43" s="52">
        <f>テーブル1[[#This Row],[列7]]/テーブル1[[#This Row],[列6]]</f>
        <v>2.4510473235065944</v>
      </c>
      <c r="T43" s="54">
        <f t="shared" ca="1" si="3"/>
        <v>6445.0019285175658</v>
      </c>
      <c r="U43" s="24" t="str">
        <f t="shared" si="4"/>
        <v>村</v>
      </c>
    </row>
    <row r="44" spans="1:21" ht="17.25" customHeight="1" x14ac:dyDescent="0.4">
      <c r="A44" s="17" t="s">
        <v>41</v>
      </c>
      <c r="B44" s="18">
        <v>1584</v>
      </c>
      <c r="C44" s="18">
        <v>4850</v>
      </c>
      <c r="D44" s="18">
        <v>2300</v>
      </c>
      <c r="E44" s="18">
        <v>2550</v>
      </c>
      <c r="F44" s="25">
        <v>1614</v>
      </c>
      <c r="G44" s="25">
        <v>4651</v>
      </c>
      <c r="H44" s="25">
        <v>2189</v>
      </c>
      <c r="I44" s="25">
        <v>2462</v>
      </c>
      <c r="J44" s="20">
        <f>テーブル1[[#This Row],[列6]]-テーブル1[[#This Row],[列2]]</f>
        <v>30</v>
      </c>
      <c r="K44" s="20">
        <f>テーブル1[[#This Row],[列7]]-テーブル1[[#This Row],[列3]]</f>
        <v>-199</v>
      </c>
      <c r="L44" s="20">
        <f>テーブル1[[#This Row],[列8]]-テーブル1[[#This Row],[列4]]</f>
        <v>-111</v>
      </c>
      <c r="M44" s="20">
        <f>テーブル1[[#This Row],[列9]]-テーブル1[[#This Row],[列5]]</f>
        <v>-88</v>
      </c>
      <c r="N44" s="56">
        <f>テーブル1[[#This Row],[列10]]/テーブル1[[#This Row],[列6]]*100</f>
        <v>1.8587360594795539</v>
      </c>
      <c r="O44" s="56">
        <f>テーブル1[[#This Row],[列11]]/テーブル1[[#This Row],[列7]]*100</f>
        <v>-4.2786497527413463</v>
      </c>
      <c r="P44" s="56">
        <f>テーブル1[[#This Row],[列12]]/テーブル1[[#This Row],[列8]]*100</f>
        <v>-5.0708085883965284</v>
      </c>
      <c r="Q44" s="56">
        <f>テーブル1[[#This Row],[列13]]/テーブル1[[#This Row],[列9]]*100</f>
        <v>-3.5743298131600327</v>
      </c>
      <c r="R44" s="52">
        <f>テーブル1[[#This Row],[列7]]/テーブル1[[#This Row],[列6]]</f>
        <v>2.8816604708798019</v>
      </c>
      <c r="T44" s="54">
        <f t="shared" ca="1" si="3"/>
        <v>1614.0022592410667</v>
      </c>
      <c r="U44" s="24" t="str">
        <f t="shared" si="4"/>
        <v>村</v>
      </c>
    </row>
    <row r="45" spans="1:21" ht="17.25" customHeight="1" x14ac:dyDescent="0.4">
      <c r="A45" s="17" t="s">
        <v>42</v>
      </c>
      <c r="B45" s="18">
        <v>3122</v>
      </c>
      <c r="C45" s="18">
        <v>8821</v>
      </c>
      <c r="D45" s="18">
        <v>4285</v>
      </c>
      <c r="E45" s="18">
        <v>4536</v>
      </c>
      <c r="F45" s="25">
        <v>3279</v>
      </c>
      <c r="G45" s="25">
        <v>8569</v>
      </c>
      <c r="H45" s="25">
        <v>4162</v>
      </c>
      <c r="I45" s="25">
        <v>4407</v>
      </c>
      <c r="J45" s="20">
        <f>テーブル1[[#This Row],[列6]]-テーブル1[[#This Row],[列2]]</f>
        <v>157</v>
      </c>
      <c r="K45" s="20">
        <f>テーブル1[[#This Row],[列7]]-テーブル1[[#This Row],[列3]]</f>
        <v>-252</v>
      </c>
      <c r="L45" s="20">
        <f>テーブル1[[#This Row],[列8]]-テーブル1[[#This Row],[列4]]</f>
        <v>-123</v>
      </c>
      <c r="M45" s="20">
        <f>テーブル1[[#This Row],[列9]]-テーブル1[[#This Row],[列5]]</f>
        <v>-129</v>
      </c>
      <c r="N45" s="56">
        <f>テーブル1[[#This Row],[列10]]/テーブル1[[#This Row],[列6]]*100</f>
        <v>4.7880451357121077</v>
      </c>
      <c r="O45" s="56">
        <f>テーブル1[[#This Row],[列11]]/テーブル1[[#This Row],[列7]]*100</f>
        <v>-2.9408332360835567</v>
      </c>
      <c r="P45" s="56">
        <f>テーブル1[[#This Row],[列12]]/テーブル1[[#This Row],[列8]]*100</f>
        <v>-2.955309947140798</v>
      </c>
      <c r="Q45" s="56">
        <f>テーブル1[[#This Row],[列13]]/テーブル1[[#This Row],[列9]]*100</f>
        <v>-2.9271613342409806</v>
      </c>
      <c r="R45" s="52">
        <f>テーブル1[[#This Row],[列7]]/テーブル1[[#This Row],[列6]]</f>
        <v>2.6132967368100029</v>
      </c>
      <c r="T45" s="54">
        <f t="shared" ca="1" si="3"/>
        <v>3279.021840672186</v>
      </c>
      <c r="U45" s="24" t="str">
        <f t="shared" si="4"/>
        <v>村</v>
      </c>
    </row>
    <row r="46" spans="1:21" ht="17.25" customHeight="1" x14ac:dyDescent="0.4">
      <c r="A46" s="17" t="s">
        <v>43</v>
      </c>
      <c r="B46" s="18">
        <v>4355</v>
      </c>
      <c r="C46" s="18">
        <v>13167</v>
      </c>
      <c r="D46" s="18">
        <v>6331</v>
      </c>
      <c r="E46" s="18">
        <v>6836</v>
      </c>
      <c r="F46" s="25">
        <v>4428</v>
      </c>
      <c r="G46" s="25">
        <v>12530</v>
      </c>
      <c r="H46" s="25">
        <v>6069</v>
      </c>
      <c r="I46" s="25">
        <v>6461</v>
      </c>
      <c r="J46" s="20">
        <f>テーブル1[[#This Row],[列6]]-テーブル1[[#This Row],[列2]]</f>
        <v>73</v>
      </c>
      <c r="K46" s="20">
        <f>テーブル1[[#This Row],[列7]]-テーブル1[[#This Row],[列3]]</f>
        <v>-637</v>
      </c>
      <c r="L46" s="20">
        <f>テーブル1[[#This Row],[列8]]-テーブル1[[#This Row],[列4]]</f>
        <v>-262</v>
      </c>
      <c r="M46" s="20">
        <f>テーブル1[[#This Row],[列9]]-テーブル1[[#This Row],[列5]]</f>
        <v>-375</v>
      </c>
      <c r="N46" s="56">
        <f>テーブル1[[#This Row],[列10]]/テーブル1[[#This Row],[列6]]*100</f>
        <v>1.6485998193315266</v>
      </c>
      <c r="O46" s="56">
        <f>テーブル1[[#This Row],[列11]]/テーブル1[[#This Row],[列7]]*100</f>
        <v>-5.0837988826815641</v>
      </c>
      <c r="P46" s="56">
        <f>テーブル1[[#This Row],[列12]]/テーブル1[[#This Row],[列8]]*100</f>
        <v>-4.3170209260174657</v>
      </c>
      <c r="Q46" s="56">
        <f>テーブル1[[#This Row],[列13]]/テーブル1[[#This Row],[列9]]*100</f>
        <v>-5.804055099829748</v>
      </c>
      <c r="R46" s="52">
        <f>テーブル1[[#This Row],[列7]]/テーブル1[[#This Row],[列6]]</f>
        <v>2.8297199638663053</v>
      </c>
      <c r="T46" s="54">
        <f t="shared" ca="1" si="3"/>
        <v>4428.0420121233219</v>
      </c>
      <c r="U46" s="24" t="str">
        <f t="shared" si="4"/>
        <v>町</v>
      </c>
    </row>
    <row r="47" spans="1:21" ht="17.25" customHeight="1" x14ac:dyDescent="0.4">
      <c r="A47" s="17" t="s">
        <v>44</v>
      </c>
      <c r="B47" s="18">
        <v>4247</v>
      </c>
      <c r="C47" s="18">
        <v>13080</v>
      </c>
      <c r="D47" s="18">
        <v>6269</v>
      </c>
      <c r="E47" s="18">
        <v>6811</v>
      </c>
      <c r="F47" s="25">
        <v>4453</v>
      </c>
      <c r="G47" s="25">
        <v>12811</v>
      </c>
      <c r="H47" s="25">
        <v>6153</v>
      </c>
      <c r="I47" s="25">
        <v>6658</v>
      </c>
      <c r="J47" s="20">
        <f>テーブル1[[#This Row],[列6]]-テーブル1[[#This Row],[列2]]</f>
        <v>206</v>
      </c>
      <c r="K47" s="20">
        <f>テーブル1[[#This Row],[列7]]-テーブル1[[#This Row],[列3]]</f>
        <v>-269</v>
      </c>
      <c r="L47" s="20">
        <f>テーブル1[[#This Row],[列8]]-テーブル1[[#This Row],[列4]]</f>
        <v>-116</v>
      </c>
      <c r="M47" s="20">
        <f>テーブル1[[#This Row],[列9]]-テーブル1[[#This Row],[列5]]</f>
        <v>-153</v>
      </c>
      <c r="N47" s="56">
        <f>テーブル1[[#This Row],[列10]]/テーブル1[[#This Row],[列6]]*100</f>
        <v>4.6260947675724227</v>
      </c>
      <c r="O47" s="56">
        <f>テーブル1[[#This Row],[列11]]/テーブル1[[#This Row],[列7]]*100</f>
        <v>-2.0997580204511745</v>
      </c>
      <c r="P47" s="56">
        <f>テーブル1[[#This Row],[列12]]/テーブル1[[#This Row],[列8]]*100</f>
        <v>-1.8852592231431824</v>
      </c>
      <c r="Q47" s="56">
        <f>テーブル1[[#This Row],[列13]]/テーブル1[[#This Row],[列9]]*100</f>
        <v>-2.2979873835986782</v>
      </c>
      <c r="R47" s="52">
        <f>テーブル1[[#This Row],[列7]]/テーブル1[[#This Row],[列6]]</f>
        <v>2.876936896474287</v>
      </c>
      <c r="T47" s="54">
        <f t="shared" ca="1" si="3"/>
        <v>4453.0113593748883</v>
      </c>
      <c r="U47" s="24" t="str">
        <f t="shared" si="4"/>
        <v>町</v>
      </c>
    </row>
    <row r="48" spans="1:21" ht="17.25" customHeight="1" x14ac:dyDescent="0.4">
      <c r="A48" s="17" t="s">
        <v>45</v>
      </c>
      <c r="B48" s="18">
        <v>1737</v>
      </c>
      <c r="C48" s="18">
        <v>4962</v>
      </c>
      <c r="D48" s="18">
        <v>2371</v>
      </c>
      <c r="E48" s="18">
        <v>2591</v>
      </c>
      <c r="F48" s="25">
        <v>1611</v>
      </c>
      <c r="G48" s="25">
        <v>4299</v>
      </c>
      <c r="H48" s="25">
        <v>2071</v>
      </c>
      <c r="I48" s="25">
        <v>2228</v>
      </c>
      <c r="J48" s="20">
        <f>テーブル1[[#This Row],[列6]]-テーブル1[[#This Row],[列2]]</f>
        <v>-126</v>
      </c>
      <c r="K48" s="20">
        <f>テーブル1[[#This Row],[列7]]-テーブル1[[#This Row],[列3]]</f>
        <v>-663</v>
      </c>
      <c r="L48" s="20">
        <f>テーブル1[[#This Row],[列8]]-テーブル1[[#This Row],[列4]]</f>
        <v>-300</v>
      </c>
      <c r="M48" s="20">
        <f>テーブル1[[#This Row],[列9]]-テーブル1[[#This Row],[列5]]</f>
        <v>-363</v>
      </c>
      <c r="N48" s="56">
        <f>テーブル1[[#This Row],[列10]]/テーブル1[[#This Row],[列6]]*100</f>
        <v>-7.8212290502793298</v>
      </c>
      <c r="O48" s="56">
        <f>テーブル1[[#This Row],[列11]]/テーブル1[[#This Row],[列7]]*100</f>
        <v>-15.422191207257502</v>
      </c>
      <c r="P48" s="56">
        <f>テーブル1[[#This Row],[列12]]/テーブル1[[#This Row],[列8]]*100</f>
        <v>-14.485755673587638</v>
      </c>
      <c r="Q48" s="56">
        <f>テーブル1[[#This Row],[列13]]/テーブル1[[#This Row],[列9]]*100</f>
        <v>-16.292639138240574</v>
      </c>
      <c r="R48" s="52">
        <f>テーブル1[[#This Row],[列7]]/テーブル1[[#This Row],[列6]]</f>
        <v>2.6685288640595903</v>
      </c>
      <c r="T48" s="54">
        <f t="shared" ca="1" si="3"/>
        <v>1611.005422838108</v>
      </c>
      <c r="U48" s="24" t="str">
        <f t="shared" si="4"/>
        <v>町</v>
      </c>
    </row>
    <row r="49" spans="1:21" ht="17.25" customHeight="1" x14ac:dyDescent="0.4">
      <c r="A49" s="17" t="s">
        <v>46</v>
      </c>
      <c r="B49" s="18">
        <v>2188</v>
      </c>
      <c r="C49" s="18">
        <v>6538</v>
      </c>
      <c r="D49" s="18">
        <v>3118</v>
      </c>
      <c r="E49" s="18">
        <v>3420</v>
      </c>
      <c r="F49" s="25">
        <v>2152</v>
      </c>
      <c r="G49" s="25">
        <v>6068</v>
      </c>
      <c r="H49" s="25">
        <v>2894</v>
      </c>
      <c r="I49" s="25">
        <v>3174</v>
      </c>
      <c r="J49" s="20">
        <f>テーブル1[[#This Row],[列6]]-テーブル1[[#This Row],[列2]]</f>
        <v>-36</v>
      </c>
      <c r="K49" s="20">
        <f>テーブル1[[#This Row],[列7]]-テーブル1[[#This Row],[列3]]</f>
        <v>-470</v>
      </c>
      <c r="L49" s="20">
        <f>テーブル1[[#This Row],[列8]]-テーブル1[[#This Row],[列4]]</f>
        <v>-224</v>
      </c>
      <c r="M49" s="20">
        <f>テーブル1[[#This Row],[列9]]-テーブル1[[#This Row],[列5]]</f>
        <v>-246</v>
      </c>
      <c r="N49" s="56">
        <f>テーブル1[[#This Row],[列10]]/テーブル1[[#This Row],[列6]]*100</f>
        <v>-1.6728624535315983</v>
      </c>
      <c r="O49" s="56">
        <f>テーブル1[[#This Row],[列11]]/テーブル1[[#This Row],[列7]]*100</f>
        <v>-7.7455504284772578</v>
      </c>
      <c r="P49" s="56">
        <f>テーブル1[[#This Row],[列12]]/テーブル1[[#This Row],[列8]]*100</f>
        <v>-7.740152038700761</v>
      </c>
      <c r="Q49" s="56">
        <f>テーブル1[[#This Row],[列13]]/テーブル1[[#This Row],[列9]]*100</f>
        <v>-7.7504725897920608</v>
      </c>
      <c r="R49" s="52">
        <f>テーブル1[[#This Row],[列7]]/テーブル1[[#This Row],[列6]]</f>
        <v>2.8197026022304832</v>
      </c>
      <c r="T49" s="54">
        <f t="shared" ca="1" si="3"/>
        <v>2152.017811242556</v>
      </c>
      <c r="U49" s="24" t="str">
        <f t="shared" si="4"/>
        <v>村</v>
      </c>
    </row>
    <row r="50" spans="1:21" ht="17.25" customHeight="1" x14ac:dyDescent="0.4">
      <c r="A50" s="17" t="s">
        <v>47</v>
      </c>
      <c r="B50" s="18">
        <v>211</v>
      </c>
      <c r="C50" s="18">
        <v>484</v>
      </c>
      <c r="D50" s="18">
        <v>229</v>
      </c>
      <c r="E50" s="18">
        <v>255</v>
      </c>
      <c r="F50" s="25">
        <v>196</v>
      </c>
      <c r="G50" s="25">
        <v>387</v>
      </c>
      <c r="H50" s="25">
        <v>192</v>
      </c>
      <c r="I50" s="25">
        <v>195</v>
      </c>
      <c r="J50" s="20">
        <f>テーブル1[[#This Row],[列6]]-テーブル1[[#This Row],[列2]]</f>
        <v>-15</v>
      </c>
      <c r="K50" s="20">
        <f>テーブル1[[#This Row],[列7]]-テーブル1[[#This Row],[列3]]</f>
        <v>-97</v>
      </c>
      <c r="L50" s="20">
        <f>テーブル1[[#This Row],[列8]]-テーブル1[[#This Row],[列4]]</f>
        <v>-37</v>
      </c>
      <c r="M50" s="20">
        <f>テーブル1[[#This Row],[列9]]-テーブル1[[#This Row],[列5]]</f>
        <v>-60</v>
      </c>
      <c r="N50" s="56">
        <f>テーブル1[[#This Row],[列10]]/テーブル1[[#This Row],[列6]]*100</f>
        <v>-7.6530612244897958</v>
      </c>
      <c r="O50" s="56">
        <f>テーブル1[[#This Row],[列11]]/テーブル1[[#This Row],[列7]]*100</f>
        <v>-25.064599483204137</v>
      </c>
      <c r="P50" s="56">
        <f>テーブル1[[#This Row],[列12]]/テーブル1[[#This Row],[列8]]*100</f>
        <v>-19.270833333333336</v>
      </c>
      <c r="Q50" s="56">
        <f>テーブル1[[#This Row],[列13]]/テーブル1[[#This Row],[列9]]*100</f>
        <v>-30.76923076923077</v>
      </c>
      <c r="R50" s="52">
        <f>テーブル1[[#This Row],[列7]]/テーブル1[[#This Row],[列6]]</f>
        <v>1.9744897959183674</v>
      </c>
      <c r="T50" s="54">
        <f t="shared" ca="1" si="3"/>
        <v>196.00190707807775</v>
      </c>
      <c r="U50" s="24" t="str">
        <f t="shared" si="4"/>
        <v>村</v>
      </c>
    </row>
    <row r="51" spans="1:21" ht="17.25" customHeight="1" x14ac:dyDescent="0.4">
      <c r="A51" s="17" t="s">
        <v>48</v>
      </c>
      <c r="B51" s="18">
        <v>416</v>
      </c>
      <c r="C51" s="18">
        <v>970</v>
      </c>
      <c r="D51" s="18">
        <v>483</v>
      </c>
      <c r="E51" s="18">
        <v>487</v>
      </c>
      <c r="F51" s="25">
        <v>383</v>
      </c>
      <c r="G51" s="25">
        <v>852</v>
      </c>
      <c r="H51" s="25">
        <v>411</v>
      </c>
      <c r="I51" s="25">
        <v>441</v>
      </c>
      <c r="J51" s="20">
        <f>テーブル1[[#This Row],[列6]]-テーブル1[[#This Row],[列2]]</f>
        <v>-33</v>
      </c>
      <c r="K51" s="20">
        <f>テーブル1[[#This Row],[列7]]-テーブル1[[#This Row],[列3]]</f>
        <v>-118</v>
      </c>
      <c r="L51" s="20">
        <f>テーブル1[[#This Row],[列8]]-テーブル1[[#This Row],[列4]]</f>
        <v>-72</v>
      </c>
      <c r="M51" s="20">
        <f>テーブル1[[#This Row],[列9]]-テーブル1[[#This Row],[列5]]</f>
        <v>-46</v>
      </c>
      <c r="N51" s="56">
        <f>テーブル1[[#This Row],[列10]]/テーブル1[[#This Row],[列6]]*100</f>
        <v>-8.6161879895561366</v>
      </c>
      <c r="O51" s="56">
        <f>テーブル1[[#This Row],[列11]]/テーブル1[[#This Row],[列7]]*100</f>
        <v>-13.849765258215962</v>
      </c>
      <c r="P51" s="56">
        <f>テーブル1[[#This Row],[列12]]/テーブル1[[#This Row],[列8]]*100</f>
        <v>-17.518248175182482</v>
      </c>
      <c r="Q51" s="56">
        <f>テーブル1[[#This Row],[列13]]/テーブル1[[#This Row],[列9]]*100</f>
        <v>-10.430839002267573</v>
      </c>
      <c r="R51" s="52">
        <f>テーブル1[[#This Row],[列7]]/テーブル1[[#This Row],[列6]]</f>
        <v>2.2245430809399478</v>
      </c>
      <c r="T51" s="54">
        <f t="shared" ca="1" si="3"/>
        <v>383.00343791032401</v>
      </c>
      <c r="U51" s="24" t="str">
        <f t="shared" si="4"/>
        <v>村</v>
      </c>
    </row>
    <row r="52" spans="1:21" ht="17.25" customHeight="1" x14ac:dyDescent="0.4">
      <c r="A52" s="17" t="s">
        <v>49</v>
      </c>
      <c r="B52" s="18">
        <v>1159</v>
      </c>
      <c r="C52" s="18">
        <v>3851</v>
      </c>
      <c r="D52" s="18">
        <v>1870</v>
      </c>
      <c r="E52" s="18">
        <v>1981</v>
      </c>
      <c r="F52" s="25">
        <v>1160</v>
      </c>
      <c r="G52" s="25">
        <v>3545</v>
      </c>
      <c r="H52" s="25">
        <v>1709</v>
      </c>
      <c r="I52" s="25">
        <v>1836</v>
      </c>
      <c r="J52" s="20">
        <f>テーブル1[[#This Row],[列6]]-テーブル1[[#This Row],[列2]]</f>
        <v>1</v>
      </c>
      <c r="K52" s="20">
        <f>テーブル1[[#This Row],[列7]]-テーブル1[[#This Row],[列3]]</f>
        <v>-306</v>
      </c>
      <c r="L52" s="20">
        <f>テーブル1[[#This Row],[列8]]-テーブル1[[#This Row],[列4]]</f>
        <v>-161</v>
      </c>
      <c r="M52" s="20">
        <f>テーブル1[[#This Row],[列9]]-テーブル1[[#This Row],[列5]]</f>
        <v>-145</v>
      </c>
      <c r="N52" s="56">
        <f>テーブル1[[#This Row],[列10]]/テーブル1[[#This Row],[列6]]*100</f>
        <v>8.6206896551724144E-2</v>
      </c>
      <c r="O52" s="56">
        <f>テーブル1[[#This Row],[列11]]/テーブル1[[#This Row],[列7]]*100</f>
        <v>-8.631875881523273</v>
      </c>
      <c r="P52" s="56">
        <f>テーブル1[[#This Row],[列12]]/テーブル1[[#This Row],[列8]]*100</f>
        <v>-9.4207138677589235</v>
      </c>
      <c r="Q52" s="56">
        <f>テーブル1[[#This Row],[列13]]/テーブル1[[#This Row],[列9]]*100</f>
        <v>-7.8976034858387809</v>
      </c>
      <c r="R52" s="52">
        <f>テーブル1[[#This Row],[列7]]/テーブル1[[#This Row],[列6]]</f>
        <v>3.0560344827586206</v>
      </c>
      <c r="T52" s="54">
        <f t="shared" ca="1" si="3"/>
        <v>1160.0115218611559</v>
      </c>
      <c r="U52" s="24" t="str">
        <f t="shared" si="4"/>
        <v>村</v>
      </c>
    </row>
    <row r="53" spans="1:21" ht="17.25" customHeight="1" x14ac:dyDescent="0.4">
      <c r="A53" s="17" t="s">
        <v>50</v>
      </c>
      <c r="B53" s="18">
        <v>270</v>
      </c>
      <c r="C53" s="18">
        <v>575</v>
      </c>
      <c r="D53" s="18">
        <v>270</v>
      </c>
      <c r="E53" s="18">
        <v>305</v>
      </c>
      <c r="F53" s="25">
        <v>279</v>
      </c>
      <c r="G53" s="25">
        <v>548</v>
      </c>
      <c r="H53" s="25">
        <v>252</v>
      </c>
      <c r="I53" s="25">
        <v>296</v>
      </c>
      <c r="J53" s="20">
        <f>テーブル1[[#This Row],[列6]]-テーブル1[[#This Row],[列2]]</f>
        <v>9</v>
      </c>
      <c r="K53" s="20">
        <f>テーブル1[[#This Row],[列7]]-テーブル1[[#This Row],[列3]]</f>
        <v>-27</v>
      </c>
      <c r="L53" s="20">
        <f>テーブル1[[#This Row],[列8]]-テーブル1[[#This Row],[列4]]</f>
        <v>-18</v>
      </c>
      <c r="M53" s="20">
        <f>テーブル1[[#This Row],[列9]]-テーブル1[[#This Row],[列5]]</f>
        <v>-9</v>
      </c>
      <c r="N53" s="56">
        <f>テーブル1[[#This Row],[列10]]/テーブル1[[#This Row],[列6]]*100</f>
        <v>3.225806451612903</v>
      </c>
      <c r="O53" s="56">
        <f>テーブル1[[#This Row],[列11]]/テーブル1[[#This Row],[列7]]*100</f>
        <v>-4.9270072992700733</v>
      </c>
      <c r="P53" s="56">
        <f>テーブル1[[#This Row],[列12]]/テーブル1[[#This Row],[列8]]*100</f>
        <v>-7.1428571428571423</v>
      </c>
      <c r="Q53" s="56">
        <f>テーブル1[[#This Row],[列13]]/テーブル1[[#This Row],[列9]]*100</f>
        <v>-3.0405405405405408</v>
      </c>
      <c r="R53" s="52">
        <f>テーブル1[[#This Row],[列7]]/テーブル1[[#This Row],[列6]]</f>
        <v>1.9641577060931901</v>
      </c>
      <c r="T53" s="54">
        <f t="shared" ca="1" si="3"/>
        <v>279.0023578263885</v>
      </c>
      <c r="U53" s="24" t="str">
        <f t="shared" si="4"/>
        <v>村</v>
      </c>
    </row>
    <row r="54" spans="1:21" ht="17.25" customHeight="1" x14ac:dyDescent="0.4">
      <c r="A54" s="17" t="s">
        <v>51</v>
      </c>
      <c r="B54" s="18">
        <v>651</v>
      </c>
      <c r="C54" s="18">
        <v>1365</v>
      </c>
      <c r="D54" s="18">
        <v>634</v>
      </c>
      <c r="E54" s="18">
        <v>731</v>
      </c>
      <c r="F54" s="25">
        <v>563</v>
      </c>
      <c r="G54" s="25">
        <v>1178</v>
      </c>
      <c r="H54" s="25">
        <v>558</v>
      </c>
      <c r="I54" s="25">
        <v>620</v>
      </c>
      <c r="J54" s="20">
        <f>テーブル1[[#This Row],[列6]]-テーブル1[[#This Row],[列2]]</f>
        <v>-88</v>
      </c>
      <c r="K54" s="20">
        <f>テーブル1[[#This Row],[列7]]-テーブル1[[#This Row],[列3]]</f>
        <v>-187</v>
      </c>
      <c r="L54" s="20">
        <f>テーブル1[[#This Row],[列8]]-テーブル1[[#This Row],[列4]]</f>
        <v>-76</v>
      </c>
      <c r="M54" s="20">
        <f>テーブル1[[#This Row],[列9]]-テーブル1[[#This Row],[列5]]</f>
        <v>-111</v>
      </c>
      <c r="N54" s="56">
        <f>テーブル1[[#This Row],[列10]]/テーブル1[[#This Row],[列6]]*100</f>
        <v>-15.630550621669629</v>
      </c>
      <c r="O54" s="56">
        <f>テーブル1[[#This Row],[列11]]/テーブル1[[#This Row],[列7]]*100</f>
        <v>-15.874363327674024</v>
      </c>
      <c r="P54" s="56">
        <f>テーブル1[[#This Row],[列12]]/テーブル1[[#This Row],[列8]]*100</f>
        <v>-13.620071684587815</v>
      </c>
      <c r="Q54" s="56">
        <f>テーブル1[[#This Row],[列13]]/テーブル1[[#This Row],[列9]]*100</f>
        <v>-17.903225806451616</v>
      </c>
      <c r="R54" s="52">
        <f>テーブル1[[#This Row],[列7]]/テーブル1[[#This Row],[列6]]</f>
        <v>2.0923623445825932</v>
      </c>
      <c r="T54" s="54">
        <f t="shared" ca="1" si="3"/>
        <v>563.00503235991721</v>
      </c>
      <c r="U54" s="24" t="str">
        <f t="shared" si="4"/>
        <v>村</v>
      </c>
    </row>
    <row r="55" spans="1:21" ht="17.25" customHeight="1" x14ac:dyDescent="0.4">
      <c r="A55" s="17" t="s">
        <v>52</v>
      </c>
      <c r="B55" s="18">
        <v>639</v>
      </c>
      <c r="C55" s="18">
        <v>1702</v>
      </c>
      <c r="D55" s="18">
        <v>786</v>
      </c>
      <c r="E55" s="18">
        <v>916</v>
      </c>
      <c r="F55" s="25">
        <v>595</v>
      </c>
      <c r="G55" s="25">
        <v>1542</v>
      </c>
      <c r="H55" s="25">
        <v>726</v>
      </c>
      <c r="I55" s="25">
        <v>816</v>
      </c>
      <c r="J55" s="20">
        <f>テーブル1[[#This Row],[列6]]-テーブル1[[#This Row],[列2]]</f>
        <v>-44</v>
      </c>
      <c r="K55" s="20">
        <f>テーブル1[[#This Row],[列7]]-テーブル1[[#This Row],[列3]]</f>
        <v>-160</v>
      </c>
      <c r="L55" s="20">
        <f>テーブル1[[#This Row],[列8]]-テーブル1[[#This Row],[列4]]</f>
        <v>-60</v>
      </c>
      <c r="M55" s="20">
        <f>テーブル1[[#This Row],[列9]]-テーブル1[[#This Row],[列5]]</f>
        <v>-100</v>
      </c>
      <c r="N55" s="56">
        <f>テーブル1[[#This Row],[列10]]/テーブル1[[#This Row],[列6]]*100</f>
        <v>-7.3949579831932777</v>
      </c>
      <c r="O55" s="56">
        <f>テーブル1[[#This Row],[列11]]/テーブル1[[#This Row],[列7]]*100</f>
        <v>-10.376134889753567</v>
      </c>
      <c r="P55" s="56">
        <f>テーブル1[[#This Row],[列12]]/テーブル1[[#This Row],[列8]]*100</f>
        <v>-8.2644628099173563</v>
      </c>
      <c r="Q55" s="56">
        <f>テーブル1[[#This Row],[列13]]/テーブル1[[#This Row],[列9]]*100</f>
        <v>-12.254901960784313</v>
      </c>
      <c r="R55" s="52">
        <f>テーブル1[[#This Row],[列7]]/テーブル1[[#This Row],[列6]]</f>
        <v>2.5915966386554623</v>
      </c>
      <c r="T55" s="54">
        <f t="shared" ca="1" si="3"/>
        <v>595.00378811867085</v>
      </c>
      <c r="U55" s="24" t="str">
        <f t="shared" si="4"/>
        <v>村</v>
      </c>
    </row>
    <row r="56" spans="1:21" ht="17.25" customHeight="1" x14ac:dyDescent="0.4">
      <c r="A56" s="17" t="s">
        <v>53</v>
      </c>
      <c r="B56" s="18">
        <v>2029</v>
      </c>
      <c r="C56" s="18">
        <v>6310</v>
      </c>
      <c r="D56" s="18">
        <v>3060</v>
      </c>
      <c r="E56" s="18">
        <v>3250</v>
      </c>
      <c r="F56" s="25">
        <v>2036</v>
      </c>
      <c r="G56" s="25">
        <v>5973</v>
      </c>
      <c r="H56" s="25">
        <v>2908</v>
      </c>
      <c r="I56" s="25">
        <v>3065</v>
      </c>
      <c r="J56" s="20">
        <f>テーブル1[[#This Row],[列6]]-テーブル1[[#This Row],[列2]]</f>
        <v>7</v>
      </c>
      <c r="K56" s="20">
        <f>テーブル1[[#This Row],[列7]]-テーブル1[[#This Row],[列3]]</f>
        <v>-337</v>
      </c>
      <c r="L56" s="20">
        <f>テーブル1[[#This Row],[列8]]-テーブル1[[#This Row],[列4]]</f>
        <v>-152</v>
      </c>
      <c r="M56" s="20">
        <f>テーブル1[[#This Row],[列9]]-テーブル1[[#This Row],[列5]]</f>
        <v>-185</v>
      </c>
      <c r="N56" s="56">
        <f>テーブル1[[#This Row],[列10]]/テーブル1[[#This Row],[列6]]*100</f>
        <v>0.34381139489194501</v>
      </c>
      <c r="O56" s="56">
        <f>テーブル1[[#This Row],[列11]]/テーブル1[[#This Row],[列7]]*100</f>
        <v>-5.6420559182990129</v>
      </c>
      <c r="P56" s="56">
        <f>テーブル1[[#This Row],[列12]]/テーブル1[[#This Row],[列8]]*100</f>
        <v>-5.2269601100412659</v>
      </c>
      <c r="Q56" s="56">
        <f>テーブル1[[#This Row],[列13]]/テーブル1[[#This Row],[列9]]*100</f>
        <v>-6.0358890701468191</v>
      </c>
      <c r="R56" s="52">
        <f>テーブル1[[#This Row],[列7]]/テーブル1[[#This Row],[列6]]</f>
        <v>2.9336935166994107</v>
      </c>
      <c r="T56" s="54">
        <f t="shared" ca="1" si="3"/>
        <v>2036.0017204041521</v>
      </c>
      <c r="U56" s="24" t="str">
        <f t="shared" si="4"/>
        <v>村</v>
      </c>
    </row>
    <row r="57" spans="1:21" ht="17.25" customHeight="1" x14ac:dyDescent="0.4">
      <c r="A57" s="17" t="s">
        <v>54</v>
      </c>
      <c r="B57" s="18">
        <v>2054</v>
      </c>
      <c r="C57" s="18">
        <v>6592</v>
      </c>
      <c r="D57" s="18">
        <v>3222</v>
      </c>
      <c r="E57" s="18">
        <v>3370</v>
      </c>
      <c r="F57" s="25">
        <v>2122</v>
      </c>
      <c r="G57" s="25">
        <v>6426</v>
      </c>
      <c r="H57" s="25">
        <v>3185</v>
      </c>
      <c r="I57" s="25">
        <v>3241</v>
      </c>
      <c r="J57" s="20">
        <f>テーブル1[[#This Row],[列6]]-テーブル1[[#This Row],[列2]]</f>
        <v>68</v>
      </c>
      <c r="K57" s="20">
        <f>テーブル1[[#This Row],[列7]]-テーブル1[[#This Row],[列3]]</f>
        <v>-166</v>
      </c>
      <c r="L57" s="20">
        <f>テーブル1[[#This Row],[列8]]-テーブル1[[#This Row],[列4]]</f>
        <v>-37</v>
      </c>
      <c r="M57" s="20">
        <f>テーブル1[[#This Row],[列9]]-テーブル1[[#This Row],[列5]]</f>
        <v>-129</v>
      </c>
      <c r="N57" s="56">
        <f>テーブル1[[#This Row],[列10]]/テーブル1[[#This Row],[列6]]*100</f>
        <v>3.2045240339302548</v>
      </c>
      <c r="O57" s="56">
        <f>テーブル1[[#This Row],[列11]]/テーブル1[[#This Row],[列7]]*100</f>
        <v>-2.583255524431995</v>
      </c>
      <c r="P57" s="56">
        <f>テーブル1[[#This Row],[列12]]/テーブル1[[#This Row],[列8]]*100</f>
        <v>-1.1616954474097332</v>
      </c>
      <c r="Q57" s="56">
        <f>テーブル1[[#This Row],[列13]]/テーブル1[[#This Row],[列9]]*100</f>
        <v>-3.9802530083307621</v>
      </c>
      <c r="R57" s="52">
        <f>テーブル1[[#This Row],[列7]]/テーブル1[[#This Row],[列6]]</f>
        <v>3.0282752120640906</v>
      </c>
      <c r="T57" s="54">
        <f t="shared" ca="1" si="3"/>
        <v>2122.0120161492282</v>
      </c>
      <c r="U57" s="24" t="str">
        <f t="shared" si="4"/>
        <v>村</v>
      </c>
    </row>
    <row r="58" spans="1:21" ht="17.25" customHeight="1" x14ac:dyDescent="0.4">
      <c r="A58" s="17" t="s">
        <v>55</v>
      </c>
      <c r="B58" s="18">
        <v>475</v>
      </c>
      <c r="C58" s="18">
        <v>1023</v>
      </c>
      <c r="D58" s="18">
        <v>503</v>
      </c>
      <c r="E58" s="18">
        <v>520</v>
      </c>
      <c r="F58" s="25">
        <v>532</v>
      </c>
      <c r="G58" s="25">
        <v>1023</v>
      </c>
      <c r="H58" s="25">
        <v>539</v>
      </c>
      <c r="I58" s="25">
        <v>484</v>
      </c>
      <c r="J58" s="20">
        <f>テーブル1[[#This Row],[列6]]-テーブル1[[#This Row],[列2]]</f>
        <v>57</v>
      </c>
      <c r="K58" s="20">
        <f>テーブル1[[#This Row],[列7]]-テーブル1[[#This Row],[列3]]</f>
        <v>0</v>
      </c>
      <c r="L58" s="20">
        <f>テーブル1[[#This Row],[列8]]-テーブル1[[#This Row],[列4]]</f>
        <v>36</v>
      </c>
      <c r="M58" s="20">
        <f>テーブル1[[#This Row],[列9]]-テーブル1[[#This Row],[列5]]</f>
        <v>-36</v>
      </c>
      <c r="N58" s="56">
        <f>テーブル1[[#This Row],[列10]]/テーブル1[[#This Row],[列6]]*100</f>
        <v>10.714285714285714</v>
      </c>
      <c r="O58" s="56">
        <f>テーブル1[[#This Row],[列11]]/テーブル1[[#This Row],[列7]]*100</f>
        <v>0</v>
      </c>
      <c r="P58" s="56">
        <f>テーブル1[[#This Row],[列12]]/テーブル1[[#This Row],[列8]]*100</f>
        <v>6.679035250463822</v>
      </c>
      <c r="Q58" s="56">
        <f>テーブル1[[#This Row],[列13]]/テーブル1[[#This Row],[列9]]*100</f>
        <v>-7.4380165289256199</v>
      </c>
      <c r="R58" s="52">
        <f>テーブル1[[#This Row],[列7]]/テーブル1[[#This Row],[列6]]</f>
        <v>1.9229323308270676</v>
      </c>
      <c r="T58" s="54">
        <f t="shared" ca="1" si="3"/>
        <v>532.0047761639803</v>
      </c>
      <c r="U58" s="24" t="str">
        <f t="shared" si="4"/>
        <v>村</v>
      </c>
    </row>
    <row r="59" spans="1:21" ht="17.25" customHeight="1" x14ac:dyDescent="0.4">
      <c r="A59" s="17" t="s">
        <v>56</v>
      </c>
      <c r="B59" s="18">
        <v>1864</v>
      </c>
      <c r="C59" s="18">
        <v>4670</v>
      </c>
      <c r="D59" s="18">
        <v>2279</v>
      </c>
      <c r="E59" s="18">
        <v>2391</v>
      </c>
      <c r="F59" s="25">
        <v>1785</v>
      </c>
      <c r="G59" s="25">
        <v>4131</v>
      </c>
      <c r="H59" s="25">
        <v>2044</v>
      </c>
      <c r="I59" s="25">
        <v>2087</v>
      </c>
      <c r="J59" s="20">
        <f>テーブル1[[#This Row],[列6]]-テーブル1[[#This Row],[列2]]</f>
        <v>-79</v>
      </c>
      <c r="K59" s="20">
        <f>テーブル1[[#This Row],[列7]]-テーブル1[[#This Row],[列3]]</f>
        <v>-539</v>
      </c>
      <c r="L59" s="20">
        <f>テーブル1[[#This Row],[列8]]-テーブル1[[#This Row],[列4]]</f>
        <v>-235</v>
      </c>
      <c r="M59" s="20">
        <f>テーブル1[[#This Row],[列9]]-テーブル1[[#This Row],[列5]]</f>
        <v>-304</v>
      </c>
      <c r="N59" s="56">
        <f>テーブル1[[#This Row],[列10]]/テーブル1[[#This Row],[列6]]*100</f>
        <v>-4.4257703081232496</v>
      </c>
      <c r="O59" s="56">
        <f>テーブル1[[#This Row],[列11]]/テーブル1[[#This Row],[列7]]*100</f>
        <v>-13.047688211086905</v>
      </c>
      <c r="P59" s="56">
        <f>テーブル1[[#This Row],[列12]]/テーブル1[[#This Row],[列8]]*100</f>
        <v>-11.49706457925636</v>
      </c>
      <c r="Q59" s="56">
        <f>テーブル1[[#This Row],[列13]]/テーブル1[[#This Row],[列9]]*100</f>
        <v>-14.566363200766649</v>
      </c>
      <c r="R59" s="52">
        <f>テーブル1[[#This Row],[列7]]/テーブル1[[#This Row],[列6]]</f>
        <v>2.3142857142857145</v>
      </c>
      <c r="T59" s="54">
        <f t="shared" ca="1" si="3"/>
        <v>1785.0105036516816</v>
      </c>
      <c r="U59" s="24" t="str">
        <f t="shared" si="4"/>
        <v>町</v>
      </c>
    </row>
    <row r="60" spans="1:21" ht="17.25" customHeight="1" x14ac:dyDescent="0.4">
      <c r="A60" s="17" t="s">
        <v>14</v>
      </c>
      <c r="B60" s="18">
        <v>1713</v>
      </c>
      <c r="C60" s="18">
        <v>4313</v>
      </c>
      <c r="D60" s="18">
        <v>2055</v>
      </c>
      <c r="E60" s="18">
        <v>2258</v>
      </c>
      <c r="F60" s="25">
        <v>1630</v>
      </c>
      <c r="G60" s="25">
        <v>3915</v>
      </c>
      <c r="H60" s="25">
        <v>1896</v>
      </c>
      <c r="I60" s="25">
        <v>2019</v>
      </c>
      <c r="J60" s="20">
        <f>テーブル1[[#This Row],[列6]]-テーブル1[[#This Row],[列2]]</f>
        <v>-83</v>
      </c>
      <c r="K60" s="20">
        <f>テーブル1[[#This Row],[列7]]-テーブル1[[#This Row],[列3]]</f>
        <v>-398</v>
      </c>
      <c r="L60" s="20">
        <f>テーブル1[[#This Row],[列8]]-テーブル1[[#This Row],[列4]]</f>
        <v>-159</v>
      </c>
      <c r="M60" s="20">
        <f>テーブル1[[#This Row],[列9]]-テーブル1[[#This Row],[列5]]</f>
        <v>-239</v>
      </c>
      <c r="N60" s="56">
        <f>テーブル1[[#This Row],[列10]]/テーブル1[[#This Row],[列6]]*100</f>
        <v>-5.0920245398773005</v>
      </c>
      <c r="O60" s="56">
        <f>テーブル1[[#This Row],[列11]]/テーブル1[[#This Row],[列7]]*100</f>
        <v>-10.166028097062579</v>
      </c>
      <c r="P60" s="56">
        <f>テーブル1[[#This Row],[列12]]/テーブル1[[#This Row],[列8]]*100</f>
        <v>-8.3860759493670898</v>
      </c>
      <c r="Q60" s="56">
        <f>テーブル1[[#This Row],[列13]]/テーブル1[[#This Row],[列9]]*100</f>
        <v>-11.837543338286279</v>
      </c>
      <c r="R60" s="52">
        <f>テーブル1[[#This Row],[列7]]/テーブル1[[#This Row],[列6]]</f>
        <v>2.4018404907975461</v>
      </c>
      <c r="T60" s="54">
        <f t="shared" ca="1" si="3"/>
        <v>1630.0139257686269</v>
      </c>
      <c r="U60" s="24" t="str">
        <f t="shared" si="4"/>
        <v>町</v>
      </c>
    </row>
    <row r="61" spans="1:21" ht="17.25" customHeight="1" x14ac:dyDescent="0.4">
      <c r="A61" s="17" t="s">
        <v>57</v>
      </c>
      <c r="B61" s="18">
        <v>1045</v>
      </c>
      <c r="C61" s="18">
        <v>2926</v>
      </c>
      <c r="D61" s="18">
        <v>1355</v>
      </c>
      <c r="E61" s="18">
        <v>1571</v>
      </c>
      <c r="F61" s="25">
        <v>1013</v>
      </c>
      <c r="G61" s="25">
        <v>2692</v>
      </c>
      <c r="H61" s="25">
        <v>1235</v>
      </c>
      <c r="I61" s="25">
        <v>1457</v>
      </c>
      <c r="J61" s="20">
        <f>テーブル1[[#This Row],[列6]]-テーブル1[[#This Row],[列2]]</f>
        <v>-32</v>
      </c>
      <c r="K61" s="20">
        <f>テーブル1[[#This Row],[列7]]-テーブル1[[#This Row],[列3]]</f>
        <v>-234</v>
      </c>
      <c r="L61" s="20">
        <f>テーブル1[[#This Row],[列8]]-テーブル1[[#This Row],[列4]]</f>
        <v>-120</v>
      </c>
      <c r="M61" s="20">
        <f>テーブル1[[#This Row],[列9]]-テーブル1[[#This Row],[列5]]</f>
        <v>-114</v>
      </c>
      <c r="N61" s="56">
        <f>テーブル1[[#This Row],[列10]]/テーブル1[[#This Row],[列6]]*100</f>
        <v>-3.1589338598223096</v>
      </c>
      <c r="O61" s="56">
        <f>テーブル1[[#This Row],[列11]]/テーブル1[[#This Row],[列7]]*100</f>
        <v>-8.6924219910846947</v>
      </c>
      <c r="P61" s="56">
        <f>テーブル1[[#This Row],[列12]]/テーブル1[[#This Row],[列8]]*100</f>
        <v>-9.7165991902834001</v>
      </c>
      <c r="Q61" s="56">
        <f>テーブル1[[#This Row],[列13]]/テーブル1[[#This Row],[列9]]*100</f>
        <v>-7.8242964996568283</v>
      </c>
      <c r="R61" s="52">
        <f>テーブル1[[#This Row],[列7]]/テーブル1[[#This Row],[列6]]</f>
        <v>2.6574531095755183</v>
      </c>
      <c r="T61" s="54">
        <f t="shared" ca="1" si="3"/>
        <v>1013.0056604977746</v>
      </c>
      <c r="U61" s="24" t="str">
        <f t="shared" si="4"/>
        <v>村</v>
      </c>
    </row>
    <row r="62" spans="1:21" ht="17.25" customHeight="1" x14ac:dyDescent="0.4">
      <c r="A62" s="17" t="s">
        <v>58</v>
      </c>
      <c r="B62" s="18">
        <v>398</v>
      </c>
      <c r="C62" s="18">
        <v>839</v>
      </c>
      <c r="D62" s="18">
        <v>387</v>
      </c>
      <c r="E62" s="18">
        <v>452</v>
      </c>
      <c r="F62" s="25">
        <v>371</v>
      </c>
      <c r="G62" s="25">
        <v>715</v>
      </c>
      <c r="H62" s="25">
        <v>340</v>
      </c>
      <c r="I62" s="25">
        <v>375</v>
      </c>
      <c r="J62" s="20">
        <f>テーブル1[[#This Row],[列6]]-テーブル1[[#This Row],[列2]]</f>
        <v>-27</v>
      </c>
      <c r="K62" s="20">
        <f>テーブル1[[#This Row],[列7]]-テーブル1[[#This Row],[列3]]</f>
        <v>-124</v>
      </c>
      <c r="L62" s="20">
        <f>テーブル1[[#This Row],[列8]]-テーブル1[[#This Row],[列4]]</f>
        <v>-47</v>
      </c>
      <c r="M62" s="20">
        <f>テーブル1[[#This Row],[列9]]-テーブル1[[#This Row],[列5]]</f>
        <v>-77</v>
      </c>
      <c r="N62" s="56">
        <f>テーブル1[[#This Row],[列10]]/テーブル1[[#This Row],[列6]]*100</f>
        <v>-7.2776280323450138</v>
      </c>
      <c r="O62" s="56">
        <f>テーブル1[[#This Row],[列11]]/テーブル1[[#This Row],[列7]]*100</f>
        <v>-17.34265734265734</v>
      </c>
      <c r="P62" s="56">
        <f>テーブル1[[#This Row],[列12]]/テーブル1[[#This Row],[列8]]*100</f>
        <v>-13.823529411764707</v>
      </c>
      <c r="Q62" s="56">
        <f>テーブル1[[#This Row],[列13]]/テーブル1[[#This Row],[列9]]*100</f>
        <v>-20.533333333333335</v>
      </c>
      <c r="R62" s="52">
        <f>テーブル1[[#This Row],[列7]]/テーブル1[[#This Row],[列6]]</f>
        <v>1.9272237196765498</v>
      </c>
      <c r="T62" s="54">
        <f t="shared" ca="1" si="3"/>
        <v>371.00082244524015</v>
      </c>
      <c r="U62" s="24" t="str">
        <f t="shared" si="4"/>
        <v>村</v>
      </c>
    </row>
    <row r="63" spans="1:21" ht="17.25" customHeight="1" x14ac:dyDescent="0.4">
      <c r="A63" s="17" t="s">
        <v>59</v>
      </c>
      <c r="B63" s="18">
        <v>1522</v>
      </c>
      <c r="C63" s="18">
        <v>3825</v>
      </c>
      <c r="D63" s="18">
        <v>1858</v>
      </c>
      <c r="E63" s="18">
        <v>1967</v>
      </c>
      <c r="F63" s="25">
        <v>1477</v>
      </c>
      <c r="G63" s="25">
        <v>3439</v>
      </c>
      <c r="H63" s="25">
        <v>1682</v>
      </c>
      <c r="I63" s="25">
        <v>1757</v>
      </c>
      <c r="J63" s="20">
        <f>テーブル1[[#This Row],[列6]]-テーブル1[[#This Row],[列2]]</f>
        <v>-45</v>
      </c>
      <c r="K63" s="20">
        <f>テーブル1[[#This Row],[列7]]-テーブル1[[#This Row],[列3]]</f>
        <v>-386</v>
      </c>
      <c r="L63" s="20">
        <f>テーブル1[[#This Row],[列8]]-テーブル1[[#This Row],[列4]]</f>
        <v>-176</v>
      </c>
      <c r="M63" s="20">
        <f>テーブル1[[#This Row],[列9]]-テーブル1[[#This Row],[列5]]</f>
        <v>-210</v>
      </c>
      <c r="N63" s="56">
        <f>テーブル1[[#This Row],[列10]]/テーブル1[[#This Row],[列6]]*100</f>
        <v>-3.0467163168584972</v>
      </c>
      <c r="O63" s="56">
        <f>テーブル1[[#This Row],[列11]]/テーブル1[[#This Row],[列7]]*100</f>
        <v>-11.224193079383541</v>
      </c>
      <c r="P63" s="56">
        <f>テーブル1[[#This Row],[列12]]/テーブル1[[#This Row],[列8]]*100</f>
        <v>-10.46373365041617</v>
      </c>
      <c r="Q63" s="56">
        <f>テーブル1[[#This Row],[列13]]/テーブル1[[#This Row],[列9]]*100</f>
        <v>-11.952191235059761</v>
      </c>
      <c r="R63" s="52">
        <f>テーブル1[[#This Row],[列7]]/テーブル1[[#This Row],[列6]]</f>
        <v>2.3283683141503047</v>
      </c>
      <c r="T63" s="54">
        <f t="shared" ca="1" si="3"/>
        <v>1477.0037204513935</v>
      </c>
      <c r="U63" s="24" t="str">
        <f t="shared" si="4"/>
        <v>村</v>
      </c>
    </row>
    <row r="64" spans="1:21" ht="17.25" customHeight="1" x14ac:dyDescent="0.4">
      <c r="A64" s="17" t="s">
        <v>60</v>
      </c>
      <c r="B64" s="18">
        <v>4942</v>
      </c>
      <c r="C64" s="18">
        <v>11826</v>
      </c>
      <c r="D64" s="18">
        <v>5735</v>
      </c>
      <c r="E64" s="18">
        <v>6091</v>
      </c>
      <c r="F64" s="25">
        <v>4680</v>
      </c>
      <c r="G64" s="25">
        <v>10584</v>
      </c>
      <c r="H64" s="25">
        <v>5155</v>
      </c>
      <c r="I64" s="25">
        <v>5429</v>
      </c>
      <c r="J64" s="20">
        <f>テーブル1[[#This Row],[列6]]-テーブル1[[#This Row],[列2]]</f>
        <v>-262</v>
      </c>
      <c r="K64" s="20">
        <f>テーブル1[[#This Row],[列7]]-テーブル1[[#This Row],[列3]]</f>
        <v>-1242</v>
      </c>
      <c r="L64" s="20">
        <f>テーブル1[[#This Row],[列8]]-テーブル1[[#This Row],[列4]]</f>
        <v>-580</v>
      </c>
      <c r="M64" s="20">
        <f>テーブル1[[#This Row],[列9]]-テーブル1[[#This Row],[列5]]</f>
        <v>-662</v>
      </c>
      <c r="N64" s="56">
        <f>テーブル1[[#This Row],[列10]]/テーブル1[[#This Row],[列6]]*100</f>
        <v>-5.5982905982905988</v>
      </c>
      <c r="O64" s="56">
        <f>テーブル1[[#This Row],[列11]]/テーブル1[[#This Row],[列7]]*100</f>
        <v>-11.73469387755102</v>
      </c>
      <c r="P64" s="56">
        <f>テーブル1[[#This Row],[列12]]/テーブル1[[#This Row],[列8]]*100</f>
        <v>-11.251212415130942</v>
      </c>
      <c r="Q64" s="56">
        <f>テーブル1[[#This Row],[列13]]/テーブル1[[#This Row],[列9]]*100</f>
        <v>-12.19377417572297</v>
      </c>
      <c r="R64" s="52">
        <f>テーブル1[[#This Row],[列7]]/テーブル1[[#This Row],[列6]]</f>
        <v>2.2615384615384615</v>
      </c>
      <c r="T64" s="54">
        <f t="shared" ca="1" si="3"/>
        <v>4680.004882233492</v>
      </c>
      <c r="U64" s="24" t="str">
        <f t="shared" si="4"/>
        <v>町</v>
      </c>
    </row>
    <row r="65" spans="1:21" ht="17.25" customHeight="1" x14ac:dyDescent="0.4">
      <c r="A65" s="17" t="s">
        <v>61</v>
      </c>
      <c r="B65" s="18">
        <v>1001</v>
      </c>
      <c r="C65" s="18">
        <v>2788</v>
      </c>
      <c r="D65" s="18">
        <v>1299</v>
      </c>
      <c r="E65" s="18">
        <v>1489</v>
      </c>
      <c r="F65" s="25">
        <v>971</v>
      </c>
      <c r="G65" s="25">
        <v>2593</v>
      </c>
      <c r="H65" s="25">
        <v>1219</v>
      </c>
      <c r="I65" s="25">
        <v>1374</v>
      </c>
      <c r="J65" s="20">
        <f>テーブル1[[#This Row],[列6]]-テーブル1[[#This Row],[列2]]</f>
        <v>-30</v>
      </c>
      <c r="K65" s="20">
        <f>テーブル1[[#This Row],[列7]]-テーブル1[[#This Row],[列3]]</f>
        <v>-195</v>
      </c>
      <c r="L65" s="20">
        <f>テーブル1[[#This Row],[列8]]-テーブル1[[#This Row],[列4]]</f>
        <v>-80</v>
      </c>
      <c r="M65" s="20">
        <f>テーブル1[[#This Row],[列9]]-テーブル1[[#This Row],[列5]]</f>
        <v>-115</v>
      </c>
      <c r="N65" s="56">
        <f>テーブル1[[#This Row],[列10]]/テーブル1[[#This Row],[列6]]*100</f>
        <v>-3.0895983522142121</v>
      </c>
      <c r="O65" s="56">
        <f>テーブル1[[#This Row],[列11]]/テーブル1[[#This Row],[列7]]*100</f>
        <v>-7.5202468183571156</v>
      </c>
      <c r="P65" s="56">
        <f>テーブル1[[#This Row],[列12]]/テーブル1[[#This Row],[列8]]*100</f>
        <v>-6.5627563576702217</v>
      </c>
      <c r="Q65" s="56">
        <f>テーブル1[[#This Row],[列13]]/テーブル1[[#This Row],[列9]]*100</f>
        <v>-8.3697234352256196</v>
      </c>
      <c r="R65" s="52">
        <f>テーブル1[[#This Row],[列7]]/テーブル1[[#This Row],[列6]]</f>
        <v>2.670442842430484</v>
      </c>
      <c r="T65" s="54">
        <f t="shared" ca="1" si="3"/>
        <v>971.00315251981544</v>
      </c>
      <c r="U65" s="24" t="str">
        <f t="shared" si="4"/>
        <v>村</v>
      </c>
    </row>
    <row r="66" spans="1:21" ht="17.25" customHeight="1" x14ac:dyDescent="0.4">
      <c r="A66" s="17" t="s">
        <v>62</v>
      </c>
      <c r="B66" s="18">
        <v>698</v>
      </c>
      <c r="C66" s="18">
        <v>1843</v>
      </c>
      <c r="D66" s="18">
        <v>888</v>
      </c>
      <c r="E66" s="18">
        <v>955</v>
      </c>
      <c r="F66" s="25">
        <v>665</v>
      </c>
      <c r="G66" s="25">
        <v>1639</v>
      </c>
      <c r="H66" s="25">
        <v>818</v>
      </c>
      <c r="I66" s="25">
        <v>821</v>
      </c>
      <c r="J66" s="20">
        <f>テーブル1[[#This Row],[列6]]-テーブル1[[#This Row],[列2]]</f>
        <v>-33</v>
      </c>
      <c r="K66" s="20">
        <f>テーブル1[[#This Row],[列7]]-テーブル1[[#This Row],[列3]]</f>
        <v>-204</v>
      </c>
      <c r="L66" s="20">
        <f>テーブル1[[#This Row],[列8]]-テーブル1[[#This Row],[列4]]</f>
        <v>-70</v>
      </c>
      <c r="M66" s="20">
        <f>テーブル1[[#This Row],[列9]]-テーブル1[[#This Row],[列5]]</f>
        <v>-134</v>
      </c>
      <c r="N66" s="56">
        <f>テーブル1[[#This Row],[列10]]/テーブル1[[#This Row],[列6]]*100</f>
        <v>-4.9624060150375939</v>
      </c>
      <c r="O66" s="56">
        <f>テーブル1[[#This Row],[列11]]/テーブル1[[#This Row],[列7]]*100</f>
        <v>-12.446613788895668</v>
      </c>
      <c r="P66" s="56">
        <f>テーブル1[[#This Row],[列12]]/テーブル1[[#This Row],[列8]]*100</f>
        <v>-8.5574572127139366</v>
      </c>
      <c r="Q66" s="56">
        <f>テーブル1[[#This Row],[列13]]/テーブル1[[#This Row],[列9]]*100</f>
        <v>-16.321559074299635</v>
      </c>
      <c r="R66" s="52">
        <f>テーブル1[[#This Row],[列7]]/テーブル1[[#This Row],[列6]]</f>
        <v>2.4646616541353383</v>
      </c>
      <c r="T66" s="54">
        <f t="shared" ca="1" si="3"/>
        <v>665.00010586625217</v>
      </c>
      <c r="U66" s="24" t="str">
        <f t="shared" si="4"/>
        <v>村</v>
      </c>
    </row>
    <row r="67" spans="1:21" ht="17.25" customHeight="1" x14ac:dyDescent="0.4">
      <c r="A67" s="17" t="s">
        <v>63</v>
      </c>
      <c r="B67" s="18">
        <v>2725</v>
      </c>
      <c r="C67" s="18">
        <v>8395</v>
      </c>
      <c r="D67" s="18">
        <v>4134</v>
      </c>
      <c r="E67" s="18">
        <v>4261</v>
      </c>
      <c r="F67" s="25">
        <v>3012</v>
      </c>
      <c r="G67" s="25">
        <v>8400</v>
      </c>
      <c r="H67" s="25">
        <v>4103</v>
      </c>
      <c r="I67" s="25">
        <v>4297</v>
      </c>
      <c r="J67" s="20">
        <f>テーブル1[[#This Row],[列6]]-テーブル1[[#This Row],[列2]]</f>
        <v>287</v>
      </c>
      <c r="K67" s="20">
        <f>テーブル1[[#This Row],[列7]]-テーブル1[[#This Row],[列3]]</f>
        <v>5</v>
      </c>
      <c r="L67" s="20">
        <f>テーブル1[[#This Row],[列8]]-テーブル1[[#This Row],[列4]]</f>
        <v>-31</v>
      </c>
      <c r="M67" s="20">
        <f>テーブル1[[#This Row],[列9]]-テーブル1[[#This Row],[列5]]</f>
        <v>36</v>
      </c>
      <c r="N67" s="56">
        <f>テーブル1[[#This Row],[列10]]/テーブル1[[#This Row],[列6]]*100</f>
        <v>9.528552456839309</v>
      </c>
      <c r="O67" s="56">
        <f>テーブル1[[#This Row],[列11]]/テーブル1[[#This Row],[列7]]*100</f>
        <v>5.9523809523809527E-2</v>
      </c>
      <c r="P67" s="56">
        <f>テーブル1[[#This Row],[列12]]/テーブル1[[#This Row],[列8]]*100</f>
        <v>-0.7555447233731416</v>
      </c>
      <c r="Q67" s="56">
        <f>テーブル1[[#This Row],[列13]]/テーブル1[[#This Row],[列9]]*100</f>
        <v>0.83779380963462879</v>
      </c>
      <c r="R67" s="52">
        <f>テーブル1[[#This Row],[列7]]/テーブル1[[#This Row],[列6]]</f>
        <v>2.7888446215139444</v>
      </c>
      <c r="T67" s="54">
        <f t="shared" ca="1" si="3"/>
        <v>3012.0294466822288</v>
      </c>
      <c r="U67" s="24" t="str">
        <f t="shared" si="4"/>
        <v>村</v>
      </c>
    </row>
    <row r="68" spans="1:21" ht="17.25" customHeight="1" x14ac:dyDescent="0.4">
      <c r="A68" s="17" t="s">
        <v>64</v>
      </c>
      <c r="B68" s="18">
        <v>1412</v>
      </c>
      <c r="C68" s="18">
        <v>4462</v>
      </c>
      <c r="D68" s="18">
        <v>2172</v>
      </c>
      <c r="E68" s="18">
        <v>2290</v>
      </c>
      <c r="F68" s="25">
        <v>1474</v>
      </c>
      <c r="G68" s="25">
        <v>4279</v>
      </c>
      <c r="H68" s="25">
        <v>2110</v>
      </c>
      <c r="I68" s="25">
        <v>2169</v>
      </c>
      <c r="J68" s="20">
        <f>テーブル1[[#This Row],[列6]]-テーブル1[[#This Row],[列2]]</f>
        <v>62</v>
      </c>
      <c r="K68" s="20">
        <f>テーブル1[[#This Row],[列7]]-テーブル1[[#This Row],[列3]]</f>
        <v>-183</v>
      </c>
      <c r="L68" s="20">
        <f>テーブル1[[#This Row],[列8]]-テーブル1[[#This Row],[列4]]</f>
        <v>-62</v>
      </c>
      <c r="M68" s="20">
        <f>テーブル1[[#This Row],[列9]]-テーブル1[[#This Row],[列5]]</f>
        <v>-121</v>
      </c>
      <c r="N68" s="56">
        <f>テーブル1[[#This Row],[列10]]/テーブル1[[#This Row],[列6]]*100</f>
        <v>4.2062415196743554</v>
      </c>
      <c r="O68" s="56">
        <f>テーブル1[[#This Row],[列11]]/テーブル1[[#This Row],[列7]]*100</f>
        <v>-4.2767001635896236</v>
      </c>
      <c r="P68" s="56">
        <f>テーブル1[[#This Row],[列12]]/テーブル1[[#This Row],[列8]]*100</f>
        <v>-2.9383886255924172</v>
      </c>
      <c r="Q68" s="56">
        <f>テーブル1[[#This Row],[列13]]/テーブル1[[#This Row],[列9]]*100</f>
        <v>-5.5786076532964506</v>
      </c>
      <c r="R68" s="52">
        <f>テーブル1[[#This Row],[列7]]/テーブル1[[#This Row],[列6]]</f>
        <v>2.9029850746268657</v>
      </c>
      <c r="T68" s="54">
        <f t="shared" ca="1" si="3"/>
        <v>1474.0016502480817</v>
      </c>
      <c r="U68" s="24" t="str">
        <f t="shared" si="4"/>
        <v>村</v>
      </c>
    </row>
    <row r="69" spans="1:21" ht="17.25" customHeight="1" x14ac:dyDescent="0.4">
      <c r="A69" s="17" t="s">
        <v>65</v>
      </c>
      <c r="B69" s="18">
        <v>1780</v>
      </c>
      <c r="C69" s="18">
        <v>4730</v>
      </c>
      <c r="D69" s="18">
        <v>2323</v>
      </c>
      <c r="E69" s="18">
        <v>2407</v>
      </c>
      <c r="F69" s="25">
        <v>1687</v>
      </c>
      <c r="G69" s="25">
        <v>4149</v>
      </c>
      <c r="H69" s="25">
        <v>2046</v>
      </c>
      <c r="I69" s="25">
        <v>2103</v>
      </c>
      <c r="J69" s="20">
        <f>テーブル1[[#This Row],[列6]]-テーブル1[[#This Row],[列2]]</f>
        <v>-93</v>
      </c>
      <c r="K69" s="20">
        <f>テーブル1[[#This Row],[列7]]-テーブル1[[#This Row],[列3]]</f>
        <v>-581</v>
      </c>
      <c r="L69" s="20">
        <f>テーブル1[[#This Row],[列8]]-テーブル1[[#This Row],[列4]]</f>
        <v>-277</v>
      </c>
      <c r="M69" s="20">
        <f>テーブル1[[#This Row],[列9]]-テーブル1[[#This Row],[列5]]</f>
        <v>-304</v>
      </c>
      <c r="N69" s="56">
        <f>テーブル1[[#This Row],[列10]]/テーブル1[[#This Row],[列6]]*100</f>
        <v>-5.5127445168938944</v>
      </c>
      <c r="O69" s="56">
        <f>テーブル1[[#This Row],[列11]]/テーブル1[[#This Row],[列7]]*100</f>
        <v>-14.003374307061941</v>
      </c>
      <c r="P69" s="56">
        <f>テーブル1[[#This Row],[列12]]/テーブル1[[#This Row],[列8]]*100</f>
        <v>-13.538611925708699</v>
      </c>
      <c r="Q69" s="56">
        <f>テーブル1[[#This Row],[列13]]/テーブル1[[#This Row],[列9]]*100</f>
        <v>-14.455539705183071</v>
      </c>
      <c r="R69" s="52">
        <f>テーブル1[[#This Row],[列7]]/テーブル1[[#This Row],[列6]]</f>
        <v>2.4593953764078247</v>
      </c>
      <c r="T69" s="54">
        <f t="shared" ca="1" si="3"/>
        <v>1687.0002052631539</v>
      </c>
      <c r="U69" s="24" t="str">
        <f t="shared" si="4"/>
        <v>村</v>
      </c>
    </row>
    <row r="70" spans="1:21" ht="17.25" customHeight="1" x14ac:dyDescent="0.4">
      <c r="A70" s="17" t="s">
        <v>66</v>
      </c>
      <c r="B70" s="18">
        <v>3518</v>
      </c>
      <c r="C70" s="18">
        <v>9926</v>
      </c>
      <c r="D70" s="18">
        <v>4719</v>
      </c>
      <c r="E70" s="18">
        <v>5207</v>
      </c>
      <c r="F70" s="25">
        <v>3543</v>
      </c>
      <c r="G70" s="25">
        <v>9382</v>
      </c>
      <c r="H70" s="25">
        <v>4552</v>
      </c>
      <c r="I70" s="25">
        <v>4830</v>
      </c>
      <c r="J70" s="20">
        <f>テーブル1[[#This Row],[列6]]-テーブル1[[#This Row],[列2]]</f>
        <v>25</v>
      </c>
      <c r="K70" s="20">
        <f>テーブル1[[#This Row],[列7]]-テーブル1[[#This Row],[列3]]</f>
        <v>-544</v>
      </c>
      <c r="L70" s="20">
        <f>テーブル1[[#This Row],[列8]]-テーブル1[[#This Row],[列4]]</f>
        <v>-167</v>
      </c>
      <c r="M70" s="20">
        <f>テーブル1[[#This Row],[列9]]-テーブル1[[#This Row],[列5]]</f>
        <v>-377</v>
      </c>
      <c r="N70" s="56">
        <f>テーブル1[[#This Row],[列10]]/テーブル1[[#This Row],[列6]]*100</f>
        <v>0.70561670900366924</v>
      </c>
      <c r="O70" s="56">
        <f>テーブル1[[#This Row],[列11]]/テーブル1[[#This Row],[列7]]*100</f>
        <v>-5.798337241526327</v>
      </c>
      <c r="P70" s="56">
        <f>テーブル1[[#This Row],[列12]]/テーブル1[[#This Row],[列8]]*100</f>
        <v>-3.6687170474516693</v>
      </c>
      <c r="Q70" s="56">
        <f>テーブル1[[#This Row],[列13]]/テーブル1[[#This Row],[列9]]*100</f>
        <v>-7.8053830227743273</v>
      </c>
      <c r="R70" s="52">
        <f>テーブル1[[#This Row],[列7]]/テーブル1[[#This Row],[列6]]</f>
        <v>2.6480383855489698</v>
      </c>
      <c r="T70" s="54">
        <f t="shared" ca="1" si="3"/>
        <v>3543.0151409472815</v>
      </c>
      <c r="U70" s="24" t="str">
        <f t="shared" si="4"/>
        <v>町</v>
      </c>
    </row>
    <row r="71" spans="1:21" ht="17.25" customHeight="1" x14ac:dyDescent="0.4">
      <c r="A71" s="17" t="s">
        <v>67</v>
      </c>
      <c r="B71" s="18">
        <v>3497</v>
      </c>
      <c r="C71" s="18">
        <v>9948</v>
      </c>
      <c r="D71" s="18">
        <v>4762</v>
      </c>
      <c r="E71" s="18">
        <v>5186</v>
      </c>
      <c r="F71" s="25">
        <v>3577</v>
      </c>
      <c r="G71" s="25">
        <v>9599</v>
      </c>
      <c r="H71" s="25">
        <v>4605</v>
      </c>
      <c r="I71" s="25">
        <v>4994</v>
      </c>
      <c r="J71" s="20">
        <f>テーブル1[[#This Row],[列6]]-テーブル1[[#This Row],[列2]]</f>
        <v>80</v>
      </c>
      <c r="K71" s="20">
        <f>テーブル1[[#This Row],[列7]]-テーブル1[[#This Row],[列3]]</f>
        <v>-349</v>
      </c>
      <c r="L71" s="20">
        <f>テーブル1[[#This Row],[列8]]-テーブル1[[#This Row],[列4]]</f>
        <v>-157</v>
      </c>
      <c r="M71" s="20">
        <f>テーブル1[[#This Row],[列9]]-テーブル1[[#This Row],[列5]]</f>
        <v>-192</v>
      </c>
      <c r="N71" s="56">
        <f>テーブル1[[#This Row],[列10]]/テーブル1[[#This Row],[列6]]*100</f>
        <v>2.2365110427732739</v>
      </c>
      <c r="O71" s="56">
        <f>テーブル1[[#This Row],[列11]]/テーブル1[[#This Row],[列7]]*100</f>
        <v>-3.6357953953536826</v>
      </c>
      <c r="P71" s="56">
        <f>テーブル1[[#This Row],[列12]]/テーブル1[[#This Row],[列8]]*100</f>
        <v>-3.4093376764386534</v>
      </c>
      <c r="Q71" s="56">
        <f>テーブル1[[#This Row],[列13]]/テーブル1[[#This Row],[列9]]*100</f>
        <v>-3.8446135362434921</v>
      </c>
      <c r="R71" s="52">
        <f>テーブル1[[#This Row],[列7]]/テーブル1[[#This Row],[列6]]</f>
        <v>2.6835336874475817</v>
      </c>
      <c r="T71" s="54">
        <f t="shared" ref="T71:T83" ca="1" si="5">SUMIFS(F71:R71,$F$2:$R$2,$T$2)*(1+RAND()/100000)</f>
        <v>3577.0090854041828</v>
      </c>
      <c r="U71" s="24" t="str">
        <f t="shared" si="4"/>
        <v>村</v>
      </c>
    </row>
    <row r="72" spans="1:21" ht="17.25" customHeight="1" x14ac:dyDescent="0.4">
      <c r="A72" s="17" t="s">
        <v>68</v>
      </c>
      <c r="B72" s="18">
        <v>3477</v>
      </c>
      <c r="C72" s="18">
        <v>8929</v>
      </c>
      <c r="D72" s="18">
        <v>4427</v>
      </c>
      <c r="E72" s="18">
        <v>4502</v>
      </c>
      <c r="F72" s="25">
        <v>3709</v>
      </c>
      <c r="G72" s="25">
        <v>8575</v>
      </c>
      <c r="H72" s="25">
        <v>4257</v>
      </c>
      <c r="I72" s="25">
        <v>4318</v>
      </c>
      <c r="J72" s="20">
        <f>テーブル1[[#This Row],[列6]]-テーブル1[[#This Row],[列2]]</f>
        <v>232</v>
      </c>
      <c r="K72" s="20">
        <f>テーブル1[[#This Row],[列7]]-テーブル1[[#This Row],[列3]]</f>
        <v>-354</v>
      </c>
      <c r="L72" s="20">
        <f>テーブル1[[#This Row],[列8]]-テーブル1[[#This Row],[列4]]</f>
        <v>-170</v>
      </c>
      <c r="M72" s="20">
        <f>テーブル1[[#This Row],[列9]]-テーブル1[[#This Row],[列5]]</f>
        <v>-184</v>
      </c>
      <c r="N72" s="56">
        <f>テーブル1[[#This Row],[列10]]/テーブル1[[#This Row],[列6]]*100</f>
        <v>6.255055270962524</v>
      </c>
      <c r="O72" s="56">
        <f>テーブル1[[#This Row],[列11]]/テーブル1[[#This Row],[列7]]*100</f>
        <v>-4.128279883381925</v>
      </c>
      <c r="P72" s="56">
        <f>テーブル1[[#This Row],[列12]]/テーブル1[[#This Row],[列8]]*100</f>
        <v>-3.9934225980737605</v>
      </c>
      <c r="Q72" s="56">
        <f>テーブル1[[#This Row],[列13]]/テーブル1[[#This Row],[列9]]*100</f>
        <v>-4.2612320518758686</v>
      </c>
      <c r="R72" s="52">
        <f>テーブル1[[#This Row],[列7]]/テーブル1[[#This Row],[列6]]</f>
        <v>2.3119439201941225</v>
      </c>
      <c r="T72" s="54">
        <f t="shared" ca="1" si="5"/>
        <v>3709.0193448869727</v>
      </c>
      <c r="U72" s="24" t="str">
        <f t="shared" ref="U72:U83" si="6">RIGHT(A72)</f>
        <v>村</v>
      </c>
    </row>
    <row r="73" spans="1:21" ht="17.25" customHeight="1" x14ac:dyDescent="0.4">
      <c r="A73" s="17" t="s">
        <v>69</v>
      </c>
      <c r="B73" s="18">
        <v>1195</v>
      </c>
      <c r="C73" s="18">
        <v>2904</v>
      </c>
      <c r="D73" s="18">
        <v>1454</v>
      </c>
      <c r="E73" s="18">
        <v>1450</v>
      </c>
      <c r="F73" s="25">
        <v>1145</v>
      </c>
      <c r="G73" s="25">
        <v>2647</v>
      </c>
      <c r="H73" s="25">
        <v>1367</v>
      </c>
      <c r="I73" s="25">
        <v>1280</v>
      </c>
      <c r="J73" s="20">
        <f>テーブル1[[#This Row],[列6]]-テーブル1[[#This Row],[列2]]</f>
        <v>-50</v>
      </c>
      <c r="K73" s="20">
        <f>テーブル1[[#This Row],[列7]]-テーブル1[[#This Row],[列3]]</f>
        <v>-257</v>
      </c>
      <c r="L73" s="20">
        <f>テーブル1[[#This Row],[列8]]-テーブル1[[#This Row],[列4]]</f>
        <v>-87</v>
      </c>
      <c r="M73" s="20">
        <f>テーブル1[[#This Row],[列9]]-テーブル1[[#This Row],[列5]]</f>
        <v>-170</v>
      </c>
      <c r="N73" s="56">
        <f>テーブル1[[#This Row],[列10]]/テーブル1[[#This Row],[列6]]*100</f>
        <v>-4.3668122270742353</v>
      </c>
      <c r="O73" s="56">
        <f>テーブル1[[#This Row],[列11]]/テーブル1[[#This Row],[列7]]*100</f>
        <v>-9.7091046467699282</v>
      </c>
      <c r="P73" s="56">
        <f>テーブル1[[#This Row],[列12]]/テーブル1[[#This Row],[列8]]*100</f>
        <v>-6.3643013899049015</v>
      </c>
      <c r="Q73" s="56">
        <f>テーブル1[[#This Row],[列13]]/テーブル1[[#This Row],[列9]]*100</f>
        <v>-13.28125</v>
      </c>
      <c r="R73" s="52">
        <f>テーブル1[[#This Row],[列7]]/テーブル1[[#This Row],[列6]]</f>
        <v>2.3117903930131005</v>
      </c>
      <c r="T73" s="54">
        <f t="shared" ca="1" si="5"/>
        <v>1145.0042632599946</v>
      </c>
      <c r="U73" s="24" t="str">
        <f t="shared" si="6"/>
        <v>村</v>
      </c>
    </row>
    <row r="74" spans="1:21" ht="17.25" customHeight="1" x14ac:dyDescent="0.4">
      <c r="A74" s="17" t="s">
        <v>70</v>
      </c>
      <c r="B74" s="18">
        <v>5473</v>
      </c>
      <c r="C74" s="18">
        <v>14871</v>
      </c>
      <c r="D74" s="18">
        <v>7287</v>
      </c>
      <c r="E74" s="18">
        <v>7584</v>
      </c>
      <c r="F74" s="25">
        <v>5461</v>
      </c>
      <c r="G74" s="25">
        <v>14004</v>
      </c>
      <c r="H74" s="25">
        <v>6909</v>
      </c>
      <c r="I74" s="25">
        <v>7095</v>
      </c>
      <c r="J74" s="20">
        <f>テーブル1[[#This Row],[列6]]-テーブル1[[#This Row],[列2]]</f>
        <v>-12</v>
      </c>
      <c r="K74" s="20">
        <f>テーブル1[[#This Row],[列7]]-テーブル1[[#This Row],[列3]]</f>
        <v>-867</v>
      </c>
      <c r="L74" s="20">
        <f>テーブル1[[#This Row],[列8]]-テーブル1[[#This Row],[列4]]</f>
        <v>-378</v>
      </c>
      <c r="M74" s="20">
        <f>テーブル1[[#This Row],[列9]]-テーブル1[[#This Row],[列5]]</f>
        <v>-489</v>
      </c>
      <c r="N74" s="56">
        <f>テーブル1[[#This Row],[列10]]/テーブル1[[#This Row],[列6]]*100</f>
        <v>-0.21973997436366965</v>
      </c>
      <c r="O74" s="56">
        <f>テーブル1[[#This Row],[列11]]/テーブル1[[#This Row],[列7]]*100</f>
        <v>-6.1910882604970014</v>
      </c>
      <c r="P74" s="56">
        <f>テーブル1[[#This Row],[列12]]/テーブル1[[#This Row],[列8]]*100</f>
        <v>-5.4711246200607899</v>
      </c>
      <c r="Q74" s="56">
        <f>テーブル1[[#This Row],[列13]]/テーブル1[[#This Row],[列9]]*100</f>
        <v>-6.8921775898520083</v>
      </c>
      <c r="R74" s="52">
        <f>テーブル1[[#This Row],[列7]]/テーブル1[[#This Row],[列6]]</f>
        <v>2.5643655008240249</v>
      </c>
      <c r="T74" s="54">
        <f t="shared" ca="1" si="5"/>
        <v>5461.0386096381062</v>
      </c>
      <c r="U74" s="24" t="str">
        <f t="shared" si="6"/>
        <v>町</v>
      </c>
    </row>
    <row r="75" spans="1:21" ht="17.25" customHeight="1" x14ac:dyDescent="0.4">
      <c r="A75" s="17" t="s">
        <v>15</v>
      </c>
      <c r="B75" s="18">
        <v>3528</v>
      </c>
      <c r="C75" s="18">
        <v>10702</v>
      </c>
      <c r="D75" s="18">
        <v>5136</v>
      </c>
      <c r="E75" s="18">
        <v>5566</v>
      </c>
      <c r="F75" s="25">
        <v>3680</v>
      </c>
      <c r="G75" s="25">
        <v>10660</v>
      </c>
      <c r="H75" s="25">
        <v>5122</v>
      </c>
      <c r="I75" s="25">
        <v>5538</v>
      </c>
      <c r="J75" s="20">
        <f>テーブル1[[#This Row],[列6]]-テーブル1[[#This Row],[列2]]</f>
        <v>152</v>
      </c>
      <c r="K75" s="20">
        <f>テーブル1[[#This Row],[列7]]-テーブル1[[#This Row],[列3]]</f>
        <v>-42</v>
      </c>
      <c r="L75" s="20">
        <f>テーブル1[[#This Row],[列8]]-テーブル1[[#This Row],[列4]]</f>
        <v>-14</v>
      </c>
      <c r="M75" s="20">
        <f>テーブル1[[#This Row],[列9]]-テーブル1[[#This Row],[列5]]</f>
        <v>-28</v>
      </c>
      <c r="N75" s="56">
        <f>テーブル1[[#This Row],[列10]]/テーブル1[[#This Row],[列6]]*100</f>
        <v>4.1304347826086953</v>
      </c>
      <c r="O75" s="56">
        <f>テーブル1[[#This Row],[列11]]/テーブル1[[#This Row],[列7]]*100</f>
        <v>-0.3939962476547843</v>
      </c>
      <c r="P75" s="56">
        <f>テーブル1[[#This Row],[列12]]/テーブル1[[#This Row],[列8]]*100</f>
        <v>-0.27333073018352205</v>
      </c>
      <c r="Q75" s="56">
        <f>テーブル1[[#This Row],[列13]]/テーブル1[[#This Row],[列9]]*100</f>
        <v>-0.50559768869628019</v>
      </c>
      <c r="R75" s="52">
        <f>テーブル1[[#This Row],[列7]]/テーブル1[[#This Row],[列6]]</f>
        <v>2.8967391304347827</v>
      </c>
      <c r="T75" s="54">
        <f t="shared" ca="1" si="5"/>
        <v>3680.0087755214513</v>
      </c>
      <c r="U75" s="24" t="str">
        <f t="shared" si="6"/>
        <v>町</v>
      </c>
    </row>
    <row r="76" spans="1:21" ht="17.25" customHeight="1" x14ac:dyDescent="0.4">
      <c r="A76" s="17" t="s">
        <v>71</v>
      </c>
      <c r="B76" s="18">
        <v>2291</v>
      </c>
      <c r="C76" s="18">
        <v>7033</v>
      </c>
      <c r="D76" s="18">
        <v>3469</v>
      </c>
      <c r="E76" s="18">
        <v>3564</v>
      </c>
      <c r="F76" s="25">
        <v>2321</v>
      </c>
      <c r="G76" s="25">
        <v>6617</v>
      </c>
      <c r="H76" s="25">
        <v>3242</v>
      </c>
      <c r="I76" s="25">
        <v>3375</v>
      </c>
      <c r="J76" s="20">
        <f>テーブル1[[#This Row],[列6]]-テーブル1[[#This Row],[列2]]</f>
        <v>30</v>
      </c>
      <c r="K76" s="20">
        <f>テーブル1[[#This Row],[列7]]-テーブル1[[#This Row],[列3]]</f>
        <v>-416</v>
      </c>
      <c r="L76" s="20">
        <f>テーブル1[[#This Row],[列8]]-テーブル1[[#This Row],[列4]]</f>
        <v>-227</v>
      </c>
      <c r="M76" s="20">
        <f>テーブル1[[#This Row],[列9]]-テーブル1[[#This Row],[列5]]</f>
        <v>-189</v>
      </c>
      <c r="N76" s="56">
        <f>テーブル1[[#This Row],[列10]]/テーブル1[[#This Row],[列6]]*100</f>
        <v>1.2925463162429989</v>
      </c>
      <c r="O76" s="56">
        <f>テーブル1[[#This Row],[列11]]/テーブル1[[#This Row],[列7]]*100</f>
        <v>-6.2868369351669937</v>
      </c>
      <c r="P76" s="56">
        <f>テーブル1[[#This Row],[列12]]/テーブル1[[#This Row],[列8]]*100</f>
        <v>-7.0018507094386191</v>
      </c>
      <c r="Q76" s="56">
        <f>テーブル1[[#This Row],[列13]]/テーブル1[[#This Row],[列9]]*100</f>
        <v>-5.6000000000000005</v>
      </c>
      <c r="R76" s="52">
        <f>テーブル1[[#This Row],[列7]]/テーブル1[[#This Row],[列6]]</f>
        <v>2.8509263248599743</v>
      </c>
      <c r="T76" s="54">
        <f t="shared" ca="1" si="5"/>
        <v>2321.0026633105786</v>
      </c>
      <c r="U76" s="24" t="str">
        <f t="shared" si="6"/>
        <v>村</v>
      </c>
    </row>
    <row r="77" spans="1:21" ht="17.25" customHeight="1" x14ac:dyDescent="0.4">
      <c r="A77" s="17" t="s">
        <v>16</v>
      </c>
      <c r="B77" s="18">
        <v>4465</v>
      </c>
      <c r="C77" s="18">
        <v>12429</v>
      </c>
      <c r="D77" s="18">
        <v>5992</v>
      </c>
      <c r="E77" s="18">
        <v>6437</v>
      </c>
      <c r="F77" s="25">
        <v>4419</v>
      </c>
      <c r="G77" s="25">
        <v>11352</v>
      </c>
      <c r="H77" s="25">
        <v>5519</v>
      </c>
      <c r="I77" s="25">
        <v>5833</v>
      </c>
      <c r="J77" s="20">
        <f>テーブル1[[#This Row],[列6]]-テーブル1[[#This Row],[列2]]</f>
        <v>-46</v>
      </c>
      <c r="K77" s="20">
        <f>テーブル1[[#This Row],[列7]]-テーブル1[[#This Row],[列3]]</f>
        <v>-1077</v>
      </c>
      <c r="L77" s="20">
        <f>テーブル1[[#This Row],[列8]]-テーブル1[[#This Row],[列4]]</f>
        <v>-473</v>
      </c>
      <c r="M77" s="20">
        <f>テーブル1[[#This Row],[列9]]-テーブル1[[#This Row],[列5]]</f>
        <v>-604</v>
      </c>
      <c r="N77" s="56">
        <f>テーブル1[[#This Row],[列10]]/テーブル1[[#This Row],[列6]]*100</f>
        <v>-1.040959493097986</v>
      </c>
      <c r="O77" s="56">
        <f>テーブル1[[#This Row],[列11]]/テーブル1[[#This Row],[列7]]*100</f>
        <v>-9.4873150105708248</v>
      </c>
      <c r="P77" s="56">
        <f>テーブル1[[#This Row],[列12]]/テーブル1[[#This Row],[列8]]*100</f>
        <v>-8.5703931871715895</v>
      </c>
      <c r="Q77" s="56">
        <f>テーブル1[[#This Row],[列13]]/テーブル1[[#This Row],[列9]]*100</f>
        <v>-10.354877421566947</v>
      </c>
      <c r="R77" s="52">
        <f>テーブル1[[#This Row],[列7]]/テーブル1[[#This Row],[列6]]</f>
        <v>2.5689069925322472</v>
      </c>
      <c r="T77" s="54">
        <f t="shared" ca="1" si="5"/>
        <v>4419.0427442506016</v>
      </c>
      <c r="U77" s="24" t="str">
        <f t="shared" si="6"/>
        <v>町</v>
      </c>
    </row>
    <row r="78" spans="1:21" ht="17.25" customHeight="1" x14ac:dyDescent="0.4">
      <c r="A78" s="17" t="s">
        <v>17</v>
      </c>
      <c r="B78" s="18">
        <v>1564</v>
      </c>
      <c r="C78" s="18">
        <v>4658</v>
      </c>
      <c r="D78" s="18">
        <v>2248</v>
      </c>
      <c r="E78" s="18">
        <v>2410</v>
      </c>
      <c r="F78" s="25">
        <v>1567</v>
      </c>
      <c r="G78" s="25">
        <v>4375</v>
      </c>
      <c r="H78" s="25">
        <v>2114</v>
      </c>
      <c r="I78" s="25">
        <v>2261</v>
      </c>
      <c r="J78" s="20">
        <f>テーブル1[[#This Row],[列6]]-テーブル1[[#This Row],[列2]]</f>
        <v>3</v>
      </c>
      <c r="K78" s="20">
        <f>テーブル1[[#This Row],[列7]]-テーブル1[[#This Row],[列3]]</f>
        <v>-283</v>
      </c>
      <c r="L78" s="20">
        <f>テーブル1[[#This Row],[列8]]-テーブル1[[#This Row],[列4]]</f>
        <v>-134</v>
      </c>
      <c r="M78" s="20">
        <f>テーブル1[[#This Row],[列9]]-テーブル1[[#This Row],[列5]]</f>
        <v>-149</v>
      </c>
      <c r="N78" s="56">
        <f>テーブル1[[#This Row],[列10]]/テーブル1[[#This Row],[列6]]*100</f>
        <v>0.19144862795149969</v>
      </c>
      <c r="O78" s="56">
        <f>テーブル1[[#This Row],[列11]]/テーブル1[[#This Row],[列7]]*100</f>
        <v>-6.4685714285714289</v>
      </c>
      <c r="P78" s="56">
        <f>テーブル1[[#This Row],[列12]]/テーブル1[[#This Row],[列8]]*100</f>
        <v>-6.338694418164617</v>
      </c>
      <c r="Q78" s="56">
        <f>テーブル1[[#This Row],[列13]]/テーブル1[[#This Row],[列9]]*100</f>
        <v>-6.5900044228217602</v>
      </c>
      <c r="R78" s="52">
        <f>テーブル1[[#This Row],[列7]]/テーブル1[[#This Row],[列6]]</f>
        <v>2.791959157626037</v>
      </c>
      <c r="T78" s="54">
        <f t="shared" ca="1" si="5"/>
        <v>1567.0022627380597</v>
      </c>
      <c r="U78" s="24" t="str">
        <f t="shared" si="6"/>
        <v>村</v>
      </c>
    </row>
    <row r="79" spans="1:21" ht="17.25" customHeight="1" x14ac:dyDescent="0.4">
      <c r="A79" s="17" t="s">
        <v>78</v>
      </c>
      <c r="B79" s="18">
        <v>1159</v>
      </c>
      <c r="C79" s="18">
        <v>3479</v>
      </c>
      <c r="D79" s="18">
        <v>1655</v>
      </c>
      <c r="E79" s="18">
        <v>1824</v>
      </c>
      <c r="F79" s="25">
        <v>1153</v>
      </c>
      <c r="G79" s="25">
        <v>3279</v>
      </c>
      <c r="H79" s="25">
        <v>1571</v>
      </c>
      <c r="I79" s="25">
        <v>1708</v>
      </c>
      <c r="J79" s="20">
        <f>テーブル1[[#This Row],[列6]]-テーブル1[[#This Row],[列2]]</f>
        <v>-6</v>
      </c>
      <c r="K79" s="20">
        <f>テーブル1[[#This Row],[列7]]-テーブル1[[#This Row],[列3]]</f>
        <v>-200</v>
      </c>
      <c r="L79" s="20">
        <f>テーブル1[[#This Row],[列8]]-テーブル1[[#This Row],[列4]]</f>
        <v>-84</v>
      </c>
      <c r="M79" s="20">
        <f>テーブル1[[#This Row],[列9]]-テーブル1[[#This Row],[列5]]</f>
        <v>-116</v>
      </c>
      <c r="N79" s="56">
        <f>テーブル1[[#This Row],[列10]]/テーブル1[[#This Row],[列6]]*100</f>
        <v>-0.52038161318300091</v>
      </c>
      <c r="O79" s="56">
        <f>テーブル1[[#This Row],[列11]]/テーブル1[[#This Row],[列7]]*100</f>
        <v>-6.0994205550472707</v>
      </c>
      <c r="P79" s="56">
        <f>テーブル1[[#This Row],[列12]]/テーブル1[[#This Row],[列8]]*100</f>
        <v>-5.346912794398472</v>
      </c>
      <c r="Q79" s="56">
        <f>テーブル1[[#This Row],[列13]]/テーブル1[[#This Row],[列9]]*100</f>
        <v>-6.7915690866510543</v>
      </c>
      <c r="R79" s="52">
        <f>テーブル1[[#This Row],[列7]]/テーブル1[[#This Row],[列6]]</f>
        <v>2.8438855160450998</v>
      </c>
      <c r="T79" s="54">
        <f t="shared" ca="1" si="5"/>
        <v>1153.0020588700481</v>
      </c>
      <c r="U79" s="24" t="str">
        <f t="shared" si="6"/>
        <v>村</v>
      </c>
    </row>
    <row r="80" spans="1:21" ht="17.25" customHeight="1" x14ac:dyDescent="0.4">
      <c r="A80" s="17" t="s">
        <v>72</v>
      </c>
      <c r="B80" s="18">
        <v>3157</v>
      </c>
      <c r="C80" s="18">
        <v>8469</v>
      </c>
      <c r="D80" s="18">
        <v>4113</v>
      </c>
      <c r="E80" s="18">
        <v>4356</v>
      </c>
      <c r="F80" s="25">
        <v>3062</v>
      </c>
      <c r="G80" s="25">
        <v>7739</v>
      </c>
      <c r="H80" s="25">
        <v>3812</v>
      </c>
      <c r="I80" s="25">
        <v>3927</v>
      </c>
      <c r="J80" s="20">
        <f>テーブル1[[#This Row],[列6]]-テーブル1[[#This Row],[列2]]</f>
        <v>-95</v>
      </c>
      <c r="K80" s="20">
        <f>テーブル1[[#This Row],[列7]]-テーブル1[[#This Row],[列3]]</f>
        <v>-730</v>
      </c>
      <c r="L80" s="20">
        <f>テーブル1[[#This Row],[列8]]-テーブル1[[#This Row],[列4]]</f>
        <v>-301</v>
      </c>
      <c r="M80" s="20">
        <f>テーブル1[[#This Row],[列9]]-テーブル1[[#This Row],[列5]]</f>
        <v>-429</v>
      </c>
      <c r="N80" s="56">
        <f>テーブル1[[#This Row],[列10]]/テーブル1[[#This Row],[列6]]*100</f>
        <v>-3.1025473546701501</v>
      </c>
      <c r="O80" s="56">
        <f>テーブル1[[#This Row],[列11]]/テーブル1[[#This Row],[列7]]*100</f>
        <v>-9.4327432484817155</v>
      </c>
      <c r="P80" s="56">
        <f>テーブル1[[#This Row],[列12]]/テーブル1[[#This Row],[列8]]*100</f>
        <v>-7.8961175236096537</v>
      </c>
      <c r="Q80" s="56">
        <f>テーブル1[[#This Row],[列13]]/テーブル1[[#This Row],[列9]]*100</f>
        <v>-10.92436974789916</v>
      </c>
      <c r="R80" s="52">
        <f>テーブル1[[#This Row],[列7]]/テーブル1[[#This Row],[列6]]</f>
        <v>2.5274330502939257</v>
      </c>
      <c r="T80" s="54">
        <f t="shared" ca="1" si="5"/>
        <v>3062.0217316508674</v>
      </c>
      <c r="U80" s="24" t="str">
        <f t="shared" si="6"/>
        <v>町</v>
      </c>
    </row>
    <row r="81" spans="1:21" ht="17.25" customHeight="1" x14ac:dyDescent="0.4">
      <c r="A81" s="17" t="s">
        <v>73</v>
      </c>
      <c r="B81" s="18">
        <v>1086</v>
      </c>
      <c r="C81" s="18">
        <v>2665</v>
      </c>
      <c r="D81" s="18">
        <v>1292</v>
      </c>
      <c r="E81" s="18">
        <v>1373</v>
      </c>
      <c r="F81" s="25">
        <v>965</v>
      </c>
      <c r="G81" s="25">
        <v>2215</v>
      </c>
      <c r="H81" s="25">
        <v>1100</v>
      </c>
      <c r="I81" s="25">
        <v>1115</v>
      </c>
      <c r="J81" s="20">
        <f>テーブル1[[#This Row],[列6]]-テーブル1[[#This Row],[列2]]</f>
        <v>-121</v>
      </c>
      <c r="K81" s="20">
        <f>テーブル1[[#This Row],[列7]]-テーブル1[[#This Row],[列3]]</f>
        <v>-450</v>
      </c>
      <c r="L81" s="20">
        <f>テーブル1[[#This Row],[列8]]-テーブル1[[#This Row],[列4]]</f>
        <v>-192</v>
      </c>
      <c r="M81" s="20">
        <f>テーブル1[[#This Row],[列9]]-テーブル1[[#This Row],[列5]]</f>
        <v>-258</v>
      </c>
      <c r="N81" s="56">
        <f>テーブル1[[#This Row],[列10]]/テーブル1[[#This Row],[列6]]*100</f>
        <v>-12.538860103626941</v>
      </c>
      <c r="O81" s="56">
        <f>テーブル1[[#This Row],[列11]]/テーブル1[[#This Row],[列7]]*100</f>
        <v>-20.316027088036119</v>
      </c>
      <c r="P81" s="56">
        <f>テーブル1[[#This Row],[列12]]/テーブル1[[#This Row],[列8]]*100</f>
        <v>-17.454545454545457</v>
      </c>
      <c r="Q81" s="56">
        <f>テーブル1[[#This Row],[列13]]/テーブル1[[#This Row],[列9]]*100</f>
        <v>-23.139013452914796</v>
      </c>
      <c r="R81" s="52">
        <f>テーブル1[[#This Row],[列7]]/テーブル1[[#This Row],[列6]]</f>
        <v>2.295336787564767</v>
      </c>
      <c r="T81" s="54">
        <f t="shared" ca="1" si="5"/>
        <v>965.00126959066779</v>
      </c>
      <c r="U81" s="24" t="str">
        <f t="shared" si="6"/>
        <v>村</v>
      </c>
    </row>
    <row r="82" spans="1:21" ht="17.25" customHeight="1" x14ac:dyDescent="0.4">
      <c r="A82" s="17" t="s">
        <v>74</v>
      </c>
      <c r="B82" s="18">
        <v>3769</v>
      </c>
      <c r="C82" s="18">
        <v>11063</v>
      </c>
      <c r="D82" s="18">
        <v>5360</v>
      </c>
      <c r="E82" s="18">
        <v>5703</v>
      </c>
      <c r="F82" s="25">
        <v>3767</v>
      </c>
      <c r="G82" s="25">
        <v>10296</v>
      </c>
      <c r="H82" s="25">
        <v>5019</v>
      </c>
      <c r="I82" s="25">
        <v>5277</v>
      </c>
      <c r="J82" s="20">
        <f>テーブル1[[#This Row],[列6]]-テーブル1[[#This Row],[列2]]</f>
        <v>-2</v>
      </c>
      <c r="K82" s="20">
        <f>テーブル1[[#This Row],[列7]]-テーブル1[[#This Row],[列3]]</f>
        <v>-767</v>
      </c>
      <c r="L82" s="20">
        <f>テーブル1[[#This Row],[列8]]-テーブル1[[#This Row],[列4]]</f>
        <v>-341</v>
      </c>
      <c r="M82" s="20">
        <f>テーブル1[[#This Row],[列9]]-テーブル1[[#This Row],[列5]]</f>
        <v>-426</v>
      </c>
      <c r="N82" s="56">
        <f>テーブル1[[#This Row],[列10]]/テーブル1[[#This Row],[列6]]*100</f>
        <v>-5.3092646668436425E-2</v>
      </c>
      <c r="O82" s="56">
        <f>テーブル1[[#This Row],[列11]]/テーブル1[[#This Row],[列7]]*100</f>
        <v>-7.4494949494949489</v>
      </c>
      <c r="P82" s="56">
        <f>テーブル1[[#This Row],[列12]]/テーブル1[[#This Row],[列8]]*100</f>
        <v>-6.7941821079896396</v>
      </c>
      <c r="Q82" s="56">
        <f>テーブル1[[#This Row],[列13]]/テーブル1[[#This Row],[列9]]*100</f>
        <v>-8.0727686185332583</v>
      </c>
      <c r="R82" s="52">
        <f>テーブル1[[#This Row],[列7]]/テーブル1[[#This Row],[列6]]</f>
        <v>2.7332094504911071</v>
      </c>
      <c r="T82" s="54">
        <f t="shared" ca="1" si="5"/>
        <v>3767.003558444836</v>
      </c>
      <c r="U82" s="24" t="str">
        <f t="shared" si="6"/>
        <v>町</v>
      </c>
    </row>
    <row r="83" spans="1:21" ht="17.25" customHeight="1" x14ac:dyDescent="0.4">
      <c r="A83" s="22" t="s">
        <v>79</v>
      </c>
      <c r="B83" s="23">
        <v>775</v>
      </c>
      <c r="C83" s="23">
        <v>1953</v>
      </c>
      <c r="D83" s="23">
        <v>937</v>
      </c>
      <c r="E83" s="23">
        <v>1016</v>
      </c>
      <c r="F83" s="26">
        <v>692</v>
      </c>
      <c r="G83" s="26">
        <v>1660</v>
      </c>
      <c r="H83" s="26">
        <v>800</v>
      </c>
      <c r="I83" s="26">
        <v>860</v>
      </c>
      <c r="J83" s="20">
        <f>テーブル1[[#This Row],[列6]]-テーブル1[[#This Row],[列2]]</f>
        <v>-83</v>
      </c>
      <c r="K83" s="20">
        <f>テーブル1[[#This Row],[列7]]-テーブル1[[#This Row],[列3]]</f>
        <v>-293</v>
      </c>
      <c r="L83" s="20">
        <f>テーブル1[[#This Row],[列8]]-テーブル1[[#This Row],[列4]]</f>
        <v>-137</v>
      </c>
      <c r="M83" s="20">
        <f>テーブル1[[#This Row],[列9]]-テーブル1[[#This Row],[列5]]</f>
        <v>-156</v>
      </c>
      <c r="N83" s="56">
        <f>テーブル1[[#This Row],[列10]]/テーブル1[[#This Row],[列6]]*100</f>
        <v>-11.99421965317919</v>
      </c>
      <c r="O83" s="56">
        <f>テーブル1[[#This Row],[列11]]/テーブル1[[#This Row],[列7]]*100</f>
        <v>-17.650602409638555</v>
      </c>
      <c r="P83" s="56">
        <f>テーブル1[[#This Row],[列12]]/テーブル1[[#This Row],[列8]]*100</f>
        <v>-17.125</v>
      </c>
      <c r="Q83" s="56">
        <f>テーブル1[[#This Row],[列13]]/テーブル1[[#This Row],[列9]]*100</f>
        <v>-18.13953488372093</v>
      </c>
      <c r="R83" s="52">
        <f>テーブル1[[#This Row],[列7]]/テーブル1[[#This Row],[列6]]</f>
        <v>2.398843930635838</v>
      </c>
      <c r="T83" s="54">
        <f t="shared" ca="1" si="5"/>
        <v>692.00147924226167</v>
      </c>
      <c r="U83" s="24" t="str">
        <f t="shared" si="6"/>
        <v>村</v>
      </c>
    </row>
  </sheetData>
  <phoneticPr fontId="2"/>
  <conditionalFormatting sqref="J6:Q83">
    <cfRule type="cellIs" dxfId="19" priority="1" operator="greaterThanOrEqual">
      <formula>0</formula>
    </cfRule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8" scale="91" orientation="portrait" r:id="rId1"/>
  <colBreaks count="1" manualBreakCount="1">
    <brk id="17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ランキングツール（市内行政区）</vt:lpstr>
      <vt:lpstr>市内行政区統計表</vt:lpstr>
      <vt:lpstr>ランキングツール（長野県市町村）</vt:lpstr>
      <vt:lpstr>長野県市町村統計表</vt:lpstr>
      <vt:lpstr>'ランキングツール（市内行政区）'!Print_Area</vt:lpstr>
      <vt:lpstr>'ランキングツール（長野県市町村）'!Print_Area</vt:lpstr>
      <vt:lpstr>市内行政区統計表!Print_Area</vt:lpstr>
      <vt:lpstr>長野県市町村統計表!Print_Area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2022-03-15T08:39:29Z</dcterms:modified>
</cp:coreProperties>
</file>